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workbookProtection workbookAlgorithmName="SHA-512" workbookHashValue="TqwNfHgvnIVX10eJZuMUl5UmMoLG2BFSFWRNXnIGCV5Qy731ceocOr06S+C3dG84ok3tu348dYBAA0e4aAprxA==" workbookSaltValue="j0BwwZcuzbZxoFxECK55iw==" workbookSpinCount="100000" lockStructure="1"/>
  <bookViews>
    <workbookView xWindow="-120" yWindow="480" windowWidth="21840" windowHeight="13140"/>
  </bookViews>
  <sheets>
    <sheet name="Итоговые данные" sheetId="1" r:id="rId1"/>
    <sheet name="Платежи 2023" sheetId="3" r:id="rId2"/>
    <sheet name="Платежи 2024" sheetId="4" r:id="rId3"/>
    <sheet name="Платежи 2025" sheetId="5" r:id="rId4"/>
    <sheet name="Плановые взносы с 1 участка" sheetId="2" r:id="rId5"/>
  </sheets>
  <definedNames>
    <definedName name="_xlnm._FilterDatabase" localSheetId="0" hidden="1">'Итоговые данные'!$B$1:$B$193</definedName>
    <definedName name="СдатьЗаТекущийПериодНаНачалоМесяца" comment="Эту сумму членских взносов за текущий год нужно сдать до начала текущего месяца">'Итоговые данные'!$Q$174</definedName>
    <definedName name="СуммаСбораС2018наНачалоМесяца" comment="Сумма сбора с участка с 1.06.2018 года до конца предыдущего месяца этого года">'Итоговые данные'!$R$173</definedName>
  </definedNames>
  <calcPr calcId="162913"/>
</workbook>
</file>

<file path=xl/calcChain.xml><?xml version="1.0" encoding="utf-8"?>
<calcChain xmlns="http://schemas.openxmlformats.org/spreadsheetml/2006/main">
  <c r="BA66" i="5" l="1"/>
  <c r="Q100" i="1" l="1"/>
  <c r="Q64" i="1"/>
  <c r="Q89" i="1"/>
  <c r="Q150" i="1"/>
  <c r="Q122" i="1"/>
  <c r="Q58" i="1"/>
  <c r="Q74" i="1"/>
  <c r="Q60" i="1"/>
  <c r="Q37" i="1"/>
  <c r="Q174" i="1" l="1"/>
  <c r="Q36" i="1"/>
  <c r="Q152" i="1"/>
  <c r="Q137" i="1"/>
  <c r="Q121" i="1"/>
  <c r="Q149" i="1"/>
  <c r="Q148" i="1"/>
  <c r="Q147" i="1"/>
  <c r="Q146" i="1"/>
  <c r="Q6" i="1"/>
  <c r="Q35" i="1"/>
  <c r="P111" i="1"/>
  <c r="P150" i="1"/>
  <c r="Q134" i="1"/>
  <c r="Q145" i="1"/>
  <c r="Q17" i="1"/>
  <c r="P73" i="1"/>
  <c r="P72" i="1"/>
  <c r="Q96" i="1"/>
  <c r="Q49" i="1"/>
  <c r="O81" i="1"/>
  <c r="Q97" i="1"/>
  <c r="Q59" i="1"/>
  <c r="Q31" i="1"/>
  <c r="Q81" i="1"/>
  <c r="Q102" i="1"/>
  <c r="Q101" i="1"/>
  <c r="Q109" i="1"/>
  <c r="Q80" i="1"/>
  <c r="P117" i="1"/>
  <c r="J16" i="1"/>
  <c r="Q54" i="1"/>
  <c r="Q14" i="1"/>
  <c r="Q13" i="1"/>
  <c r="Q10" i="1"/>
  <c r="Q9" i="1"/>
  <c r="Q18" i="1"/>
  <c r="M110" i="1"/>
  <c r="Q142" i="1"/>
  <c r="Q141" i="1"/>
  <c r="Q140" i="1"/>
  <c r="P86" i="1"/>
  <c r="Q77" i="1"/>
  <c r="G110" i="1"/>
  <c r="P126" i="1"/>
  <c r="O12" i="1"/>
  <c r="Q12" i="1"/>
  <c r="Q39" i="1"/>
  <c r="P52" i="1"/>
  <c r="Q52" i="1"/>
  <c r="H120" i="1" l="1"/>
  <c r="AX34" i="5" l="1"/>
  <c r="AJ169" i="1" l="1"/>
  <c r="Q61" i="1"/>
  <c r="Q160" i="1"/>
  <c r="Q127" i="1"/>
  <c r="Q116" i="1"/>
  <c r="Q105" i="1"/>
  <c r="Q104" i="1"/>
  <c r="Q91" i="1"/>
  <c r="P61" i="1"/>
  <c r="Q57" i="1"/>
  <c r="Q46" i="1"/>
  <c r="Q45" i="1"/>
  <c r="Q44" i="1"/>
  <c r="Q42" i="1"/>
  <c r="Q41" i="1"/>
  <c r="Q34" i="1"/>
  <c r="Q33" i="1"/>
  <c r="Q165" i="1" l="1"/>
  <c r="Q144" i="1"/>
  <c r="Q114" i="1"/>
  <c r="Q90" i="1"/>
  <c r="Q63" i="1"/>
  <c r="Q43" i="1"/>
  <c r="Q29" i="1"/>
  <c r="Q22" i="1"/>
  <c r="Q84" i="1" l="1"/>
  <c r="Q95" i="1"/>
  <c r="Q93" i="1"/>
  <c r="Q94" i="1"/>
  <c r="Q82" i="1" l="1"/>
  <c r="T22" i="1"/>
  <c r="Q163" i="1" l="1"/>
  <c r="Q162" i="1"/>
  <c r="Q161" i="1"/>
  <c r="Q156" i="1"/>
  <c r="Q154" i="1"/>
  <c r="T132" i="1"/>
  <c r="Q76" i="1" l="1"/>
  <c r="Q25" i="1"/>
  <c r="P12" i="1"/>
  <c r="N12" i="1"/>
  <c r="K12" i="1"/>
  <c r="Q8" i="1"/>
  <c r="AL34" i="5" l="1"/>
  <c r="Q166" i="1" l="1"/>
  <c r="Q164" i="1"/>
  <c r="Q66" i="1"/>
  <c r="Q56" i="1"/>
  <c r="P49" i="1"/>
  <c r="P18" i="1"/>
  <c r="AI38" i="5" l="1"/>
  <c r="Q157" i="1"/>
  <c r="Q83" i="1"/>
  <c r="Q21" i="1"/>
  <c r="J8" i="1"/>
  <c r="AF38" i="5" l="1"/>
  <c r="C18" i="2" l="1"/>
  <c r="P137" i="1" l="1"/>
  <c r="J137" i="1"/>
  <c r="P134" i="1"/>
  <c r="K110" i="1"/>
  <c r="Q19" i="1"/>
  <c r="Q11" i="1"/>
  <c r="P133" i="1" l="1"/>
  <c r="P132" i="1"/>
  <c r="P131" i="1"/>
  <c r="N122" i="1"/>
  <c r="Q85" i="1"/>
  <c r="P82" i="1"/>
  <c r="P81" i="1"/>
  <c r="Q79" i="1"/>
  <c r="Q71" i="1"/>
  <c r="P54" i="1"/>
  <c r="O11" i="1"/>
  <c r="O10" i="1"/>
  <c r="P121" i="1" l="1"/>
  <c r="J115" i="1"/>
  <c r="J100" i="1"/>
  <c r="Q92" i="1"/>
  <c r="N81" i="1"/>
  <c r="P58" i="1"/>
  <c r="P27" i="1" l="1"/>
  <c r="P160" i="1" l="1"/>
  <c r="P157" i="1"/>
  <c r="P145" i="1"/>
  <c r="P135" i="1"/>
  <c r="J91" i="1"/>
  <c r="P89" i="1"/>
  <c r="P83" i="1"/>
  <c r="N63" i="1"/>
  <c r="M63" i="1"/>
  <c r="P63" i="1"/>
  <c r="P35" i="1"/>
  <c r="R16" i="1"/>
  <c r="T62" i="1"/>
  <c r="AA62" i="1" s="1"/>
  <c r="T73" i="5" l="1"/>
  <c r="R22" i="1" l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6" i="1"/>
  <c r="R7" i="1"/>
  <c r="R8" i="1"/>
  <c r="R9" i="1"/>
  <c r="R10" i="1"/>
  <c r="R11" i="1"/>
  <c r="R12" i="1"/>
  <c r="R13" i="1"/>
  <c r="R14" i="1"/>
  <c r="R15" i="1"/>
  <c r="R17" i="1"/>
  <c r="R18" i="1"/>
  <c r="R19" i="1"/>
  <c r="R20" i="1"/>
  <c r="R21" i="1"/>
  <c r="R5" i="1"/>
  <c r="R4" i="1"/>
  <c r="T4" i="1"/>
  <c r="P168" i="1"/>
  <c r="P167" i="1"/>
  <c r="P163" i="1"/>
  <c r="P162" i="1"/>
  <c r="P161" i="1"/>
  <c r="P152" i="1"/>
  <c r="P129" i="1"/>
  <c r="P128" i="1"/>
  <c r="H110" i="1"/>
  <c r="Q169" i="1"/>
  <c r="T106" i="1" l="1"/>
  <c r="AA106" i="1" s="1"/>
  <c r="S106" i="1"/>
  <c r="J103" i="1"/>
  <c r="P103" i="1"/>
  <c r="P96" i="1"/>
  <c r="P85" i="1"/>
  <c r="P74" i="1"/>
  <c r="N70" i="1"/>
  <c r="P67" i="1"/>
  <c r="N67" i="1"/>
  <c r="P64" i="1"/>
  <c r="G62" i="1"/>
  <c r="E62" i="1"/>
  <c r="P57" i="1"/>
  <c r="P48" i="1"/>
  <c r="N47" i="1"/>
  <c r="P44" i="1"/>
  <c r="P42" i="1"/>
  <c r="J42" i="1"/>
  <c r="P41" i="1"/>
  <c r="P36" i="1"/>
  <c r="P32" i="1"/>
  <c r="P31" i="1"/>
  <c r="P30" i="1"/>
  <c r="N26" i="1"/>
  <c r="P16" i="1"/>
  <c r="P15" i="1"/>
  <c r="P8" i="1"/>
  <c r="P6" i="1"/>
  <c r="P10" i="1"/>
  <c r="P11" i="1"/>
  <c r="P20" i="1"/>
  <c r="P21" i="1"/>
  <c r="P172" i="1" l="1"/>
  <c r="T168" i="1"/>
  <c r="T167" i="1"/>
  <c r="T166" i="1"/>
  <c r="T165" i="1"/>
  <c r="T164" i="1"/>
  <c r="T163" i="1"/>
  <c r="T162" i="1"/>
  <c r="T161" i="1"/>
  <c r="T160" i="1"/>
  <c r="T159" i="1"/>
  <c r="T158" i="1"/>
  <c r="T157" i="1"/>
  <c r="T156" i="1"/>
  <c r="T155" i="1"/>
  <c r="T154" i="1"/>
  <c r="T153" i="1"/>
  <c r="T152" i="1"/>
  <c r="T151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AA63" i="1" s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1" i="1"/>
  <c r="T20" i="1"/>
  <c r="T19" i="1"/>
  <c r="T18" i="1"/>
  <c r="T17" i="1"/>
  <c r="AA17" i="1" s="1"/>
  <c r="T16" i="1"/>
  <c r="T15" i="1"/>
  <c r="T14" i="1"/>
  <c r="T13" i="1"/>
  <c r="T12" i="1"/>
  <c r="T11" i="1"/>
  <c r="T10" i="1"/>
  <c r="T9" i="1"/>
  <c r="T8" i="1"/>
  <c r="T7" i="1"/>
  <c r="T6" i="1"/>
  <c r="T5" i="1"/>
  <c r="Q172" i="1" l="1"/>
  <c r="R173" i="1"/>
  <c r="P79" i="1"/>
  <c r="Q171" i="1" l="1"/>
  <c r="Q170" i="1"/>
  <c r="Q56" i="5" l="1"/>
  <c r="N56" i="5"/>
  <c r="O166" i="1" l="1"/>
  <c r="P125" i="1"/>
  <c r="P123" i="1"/>
  <c r="P118" i="1"/>
  <c r="P102" i="1"/>
  <c r="P101" i="1"/>
  <c r="P100" i="1"/>
  <c r="P78" i="1" l="1"/>
  <c r="P76" i="1"/>
  <c r="J66" i="1"/>
  <c r="P60" i="1"/>
  <c r="P53" i="1"/>
  <c r="P45" i="1"/>
  <c r="P25" i="1"/>
  <c r="O25" i="1"/>
  <c r="J23" i="1"/>
  <c r="P174" i="1" l="1"/>
  <c r="P84" i="1" l="1"/>
  <c r="P156" i="1" l="1"/>
  <c r="P153" i="1"/>
  <c r="P149" i="1"/>
  <c r="P148" i="1"/>
  <c r="P147" i="1"/>
  <c r="P146" i="1"/>
  <c r="P116" i="1"/>
  <c r="P99" i="1"/>
  <c r="P98" i="1"/>
  <c r="P80" i="1"/>
  <c r="N6" i="1"/>
  <c r="J56" i="5" l="1"/>
  <c r="N157" i="1" l="1"/>
  <c r="I150" i="1"/>
  <c r="P144" i="1"/>
  <c r="P114" i="1"/>
  <c r="J83" i="1"/>
  <c r="P46" i="1"/>
  <c r="O41" i="1"/>
  <c r="P34" i="1"/>
  <c r="P33" i="1"/>
  <c r="P29" i="1"/>
  <c r="N24" i="1"/>
  <c r="G56" i="5" l="1"/>
  <c r="N129" i="1" l="1"/>
  <c r="N128" i="1"/>
  <c r="P77" i="1"/>
  <c r="M6" i="1"/>
  <c r="C56" i="5" l="1"/>
  <c r="N123" i="1" l="1"/>
  <c r="J123" i="1"/>
  <c r="K123" i="1"/>
  <c r="P104" i="1"/>
  <c r="AZ41" i="4" l="1"/>
  <c r="AZ40" i="4"/>
  <c r="AZ39" i="4"/>
  <c r="AZ37" i="4"/>
  <c r="AZ26" i="4"/>
  <c r="AZ8" i="4"/>
  <c r="P138" i="1" l="1"/>
  <c r="P127" i="1"/>
  <c r="N48" i="1"/>
  <c r="N137" i="1" l="1"/>
  <c r="AZ56" i="4" l="1"/>
  <c r="O145" i="1"/>
  <c r="P142" i="1"/>
  <c r="P141" i="1"/>
  <c r="P140" i="1"/>
  <c r="J44" i="1" l="1"/>
  <c r="P43" i="1"/>
  <c r="P169" i="1" l="1"/>
  <c r="K6" i="1"/>
  <c r="J149" i="1" l="1"/>
  <c r="J148" i="1"/>
  <c r="J147" i="1"/>
  <c r="J146" i="1"/>
  <c r="D123" i="1" l="1"/>
  <c r="C123" i="1"/>
  <c r="AV56" i="4" l="1"/>
  <c r="AU56" i="4"/>
  <c r="J99" i="1" l="1"/>
  <c r="AT56" i="4" l="1"/>
  <c r="AT57" i="4" s="1"/>
  <c r="AQ56" i="4" l="1"/>
  <c r="AP56" i="4"/>
  <c r="N150" i="1" l="1"/>
  <c r="N143" i="1"/>
  <c r="O116" i="1"/>
  <c r="M78" i="1"/>
  <c r="O60" i="1"/>
  <c r="M60" i="1"/>
  <c r="M61" i="1"/>
  <c r="J49" i="1"/>
  <c r="N19" i="1"/>
  <c r="AL71" i="4" l="1"/>
  <c r="AI45" i="4" l="1"/>
  <c r="AG41" i="1" l="1"/>
  <c r="AF53" i="4" l="1"/>
  <c r="AE53" i="4"/>
  <c r="AB54" i="4" l="1"/>
  <c r="Y54" i="4"/>
  <c r="AA46" i="4"/>
  <c r="AA54" i="4" s="1"/>
  <c r="Z46" i="4"/>
  <c r="Z54" i="4" s="1"/>
  <c r="N172" i="1" l="1"/>
  <c r="AA168" i="1"/>
  <c r="S168" i="1"/>
  <c r="X168" i="1"/>
  <c r="AA167" i="1"/>
  <c r="S167" i="1"/>
  <c r="X167" i="1"/>
  <c r="AA166" i="1"/>
  <c r="S166" i="1"/>
  <c r="X166" i="1"/>
  <c r="AA165" i="1"/>
  <c r="S165" i="1"/>
  <c r="X165" i="1"/>
  <c r="AA164" i="1"/>
  <c r="S164" i="1"/>
  <c r="X164" i="1"/>
  <c r="AA163" i="1"/>
  <c r="S163" i="1"/>
  <c r="X163" i="1"/>
  <c r="AA162" i="1"/>
  <c r="S162" i="1"/>
  <c r="X162" i="1"/>
  <c r="AA161" i="1"/>
  <c r="S161" i="1"/>
  <c r="X161" i="1"/>
  <c r="AA160" i="1"/>
  <c r="S160" i="1"/>
  <c r="X160" i="1"/>
  <c r="AA159" i="1"/>
  <c r="S159" i="1"/>
  <c r="X159" i="1"/>
  <c r="AA158" i="1"/>
  <c r="S158" i="1"/>
  <c r="X158" i="1"/>
  <c r="AA157" i="1"/>
  <c r="S157" i="1"/>
  <c r="X157" i="1"/>
  <c r="AA156" i="1"/>
  <c r="S156" i="1"/>
  <c r="X156" i="1"/>
  <c r="AA155" i="1"/>
  <c r="S155" i="1"/>
  <c r="X155" i="1"/>
  <c r="AA154" i="1"/>
  <c r="S154" i="1"/>
  <c r="X154" i="1"/>
  <c r="AA153" i="1"/>
  <c r="S153" i="1"/>
  <c r="X153" i="1"/>
  <c r="AA152" i="1"/>
  <c r="S152" i="1"/>
  <c r="X152" i="1"/>
  <c r="AA151" i="1"/>
  <c r="S151" i="1"/>
  <c r="X151" i="1"/>
  <c r="AA150" i="1"/>
  <c r="S150" i="1"/>
  <c r="X150" i="1"/>
  <c r="AA149" i="1"/>
  <c r="S149" i="1"/>
  <c r="X149" i="1"/>
  <c r="AA148" i="1"/>
  <c r="S148" i="1"/>
  <c r="X148" i="1"/>
  <c r="AA147" i="1"/>
  <c r="S147" i="1"/>
  <c r="X147" i="1"/>
  <c r="AA146" i="1"/>
  <c r="S146" i="1"/>
  <c r="X146" i="1"/>
  <c r="AA145" i="1"/>
  <c r="S145" i="1"/>
  <c r="X145" i="1"/>
  <c r="AA144" i="1"/>
  <c r="S144" i="1"/>
  <c r="X144" i="1"/>
  <c r="AA143" i="1"/>
  <c r="S143" i="1"/>
  <c r="X143" i="1"/>
  <c r="AA142" i="1"/>
  <c r="S142" i="1"/>
  <c r="X142" i="1"/>
  <c r="AA141" i="1"/>
  <c r="S141" i="1"/>
  <c r="X141" i="1"/>
  <c r="AA140" i="1"/>
  <c r="S140" i="1"/>
  <c r="X140" i="1"/>
  <c r="AA139" i="1"/>
  <c r="S139" i="1"/>
  <c r="X139" i="1"/>
  <c r="AA138" i="1"/>
  <c r="S138" i="1"/>
  <c r="X138" i="1"/>
  <c r="AA137" i="1"/>
  <c r="S137" i="1"/>
  <c r="X137" i="1"/>
  <c r="AA136" i="1"/>
  <c r="S136" i="1"/>
  <c r="X136" i="1"/>
  <c r="AA135" i="1"/>
  <c r="S135" i="1"/>
  <c r="X135" i="1"/>
  <c r="AA134" i="1"/>
  <c r="S134" i="1"/>
  <c r="X134" i="1"/>
  <c r="AA133" i="1"/>
  <c r="S133" i="1"/>
  <c r="X133" i="1"/>
  <c r="AA132" i="1"/>
  <c r="S132" i="1"/>
  <c r="X132" i="1"/>
  <c r="AA131" i="1"/>
  <c r="S131" i="1"/>
  <c r="X131" i="1"/>
  <c r="AA130" i="1"/>
  <c r="S130" i="1"/>
  <c r="X130" i="1"/>
  <c r="AA129" i="1"/>
  <c r="S129" i="1"/>
  <c r="X129" i="1"/>
  <c r="AA128" i="1"/>
  <c r="S128" i="1"/>
  <c r="X128" i="1"/>
  <c r="AA127" i="1"/>
  <c r="S127" i="1"/>
  <c r="X127" i="1"/>
  <c r="AA126" i="1"/>
  <c r="S126" i="1"/>
  <c r="X126" i="1"/>
  <c r="AA125" i="1"/>
  <c r="S125" i="1"/>
  <c r="X125" i="1"/>
  <c r="AA124" i="1"/>
  <c r="S124" i="1"/>
  <c r="X124" i="1"/>
  <c r="AA123" i="1"/>
  <c r="S123" i="1"/>
  <c r="AA122" i="1"/>
  <c r="S122" i="1"/>
  <c r="X122" i="1"/>
  <c r="AA121" i="1"/>
  <c r="S121" i="1"/>
  <c r="X121" i="1"/>
  <c r="AA120" i="1"/>
  <c r="S120" i="1"/>
  <c r="X120" i="1"/>
  <c r="AA119" i="1"/>
  <c r="S119" i="1"/>
  <c r="X119" i="1"/>
  <c r="AA118" i="1"/>
  <c r="S118" i="1"/>
  <c r="X118" i="1"/>
  <c r="AA117" i="1"/>
  <c r="S117" i="1"/>
  <c r="X117" i="1"/>
  <c r="AA116" i="1"/>
  <c r="S116" i="1"/>
  <c r="X116" i="1"/>
  <c r="AA115" i="1"/>
  <c r="S115" i="1"/>
  <c r="X115" i="1"/>
  <c r="AA114" i="1"/>
  <c r="S114" i="1"/>
  <c r="X114" i="1"/>
  <c r="AA113" i="1"/>
  <c r="S113" i="1"/>
  <c r="X113" i="1"/>
  <c r="AA112" i="1"/>
  <c r="S112" i="1"/>
  <c r="X112" i="1"/>
  <c r="AA111" i="1"/>
  <c r="S111" i="1"/>
  <c r="X111" i="1"/>
  <c r="AA110" i="1"/>
  <c r="S110" i="1"/>
  <c r="AA109" i="1"/>
  <c r="S109" i="1"/>
  <c r="X109" i="1"/>
  <c r="AA108" i="1"/>
  <c r="S108" i="1"/>
  <c r="X108" i="1"/>
  <c r="AA107" i="1"/>
  <c r="S107" i="1"/>
  <c r="X107" i="1"/>
  <c r="AA105" i="1"/>
  <c r="S105" i="1"/>
  <c r="X105" i="1"/>
  <c r="AA104" i="1"/>
  <c r="S104" i="1"/>
  <c r="X104" i="1"/>
  <c r="AA103" i="1"/>
  <c r="S103" i="1"/>
  <c r="X103" i="1"/>
  <c r="AA102" i="1"/>
  <c r="S102" i="1"/>
  <c r="X102" i="1"/>
  <c r="AA101" i="1"/>
  <c r="S101" i="1"/>
  <c r="X101" i="1"/>
  <c r="AA100" i="1"/>
  <c r="S100" i="1"/>
  <c r="X100" i="1"/>
  <c r="AA99" i="1"/>
  <c r="S99" i="1"/>
  <c r="X99" i="1"/>
  <c r="AA98" i="1"/>
  <c r="S98" i="1"/>
  <c r="X98" i="1"/>
  <c r="AA97" i="1"/>
  <c r="S97" i="1"/>
  <c r="X97" i="1"/>
  <c r="AA96" i="1"/>
  <c r="S96" i="1"/>
  <c r="X96" i="1"/>
  <c r="AA95" i="1"/>
  <c r="S95" i="1"/>
  <c r="X95" i="1"/>
  <c r="AA94" i="1"/>
  <c r="S94" i="1"/>
  <c r="X94" i="1"/>
  <c r="AA93" i="1"/>
  <c r="S93" i="1"/>
  <c r="X93" i="1"/>
  <c r="AA92" i="1"/>
  <c r="S92" i="1"/>
  <c r="X92" i="1"/>
  <c r="AA91" i="1"/>
  <c r="S91" i="1"/>
  <c r="X91" i="1"/>
  <c r="AA90" i="1"/>
  <c r="S90" i="1"/>
  <c r="X90" i="1"/>
  <c r="AA89" i="1"/>
  <c r="S89" i="1"/>
  <c r="X89" i="1"/>
  <c r="AA88" i="1"/>
  <c r="S88" i="1"/>
  <c r="X88" i="1"/>
  <c r="AA87" i="1"/>
  <c r="S87" i="1"/>
  <c r="X87" i="1"/>
  <c r="AA86" i="1"/>
  <c r="S86" i="1"/>
  <c r="X86" i="1"/>
  <c r="AA85" i="1"/>
  <c r="S85" i="1"/>
  <c r="X85" i="1"/>
  <c r="AA84" i="1"/>
  <c r="S84" i="1"/>
  <c r="X84" i="1"/>
  <c r="AA83" i="1"/>
  <c r="S83" i="1"/>
  <c r="X83" i="1"/>
  <c r="AA82" i="1"/>
  <c r="S82" i="1"/>
  <c r="X82" i="1"/>
  <c r="AA81" i="1"/>
  <c r="S81" i="1"/>
  <c r="X81" i="1"/>
  <c r="AA80" i="1"/>
  <c r="S80" i="1"/>
  <c r="X80" i="1"/>
  <c r="AA79" i="1"/>
  <c r="S79" i="1"/>
  <c r="X79" i="1"/>
  <c r="AA78" i="1"/>
  <c r="S78" i="1"/>
  <c r="X78" i="1"/>
  <c r="AA77" i="1"/>
  <c r="S77" i="1"/>
  <c r="X77" i="1"/>
  <c r="AA76" i="1"/>
  <c r="S76" i="1"/>
  <c r="X76" i="1"/>
  <c r="AA75" i="1"/>
  <c r="S75" i="1"/>
  <c r="X75" i="1"/>
  <c r="AA74" i="1"/>
  <c r="S74" i="1"/>
  <c r="X74" i="1"/>
  <c r="AA73" i="1"/>
  <c r="S73" i="1"/>
  <c r="X73" i="1"/>
  <c r="AA72" i="1"/>
  <c r="S72" i="1"/>
  <c r="X72" i="1"/>
  <c r="AA71" i="1"/>
  <c r="S71" i="1"/>
  <c r="X71" i="1"/>
  <c r="AA70" i="1"/>
  <c r="S70" i="1"/>
  <c r="X70" i="1"/>
  <c r="AA69" i="1"/>
  <c r="S69" i="1"/>
  <c r="X69" i="1"/>
  <c r="AA68" i="1"/>
  <c r="S68" i="1"/>
  <c r="X68" i="1"/>
  <c r="AA67" i="1"/>
  <c r="S67" i="1"/>
  <c r="X67" i="1"/>
  <c r="AA66" i="1"/>
  <c r="S66" i="1"/>
  <c r="X66" i="1"/>
  <c r="AA65" i="1"/>
  <c r="S65" i="1"/>
  <c r="X65" i="1"/>
  <c r="AA64" i="1"/>
  <c r="S64" i="1"/>
  <c r="X64" i="1"/>
  <c r="S63" i="1"/>
  <c r="X63" i="1"/>
  <c r="S62" i="1"/>
  <c r="AA61" i="1"/>
  <c r="S61" i="1"/>
  <c r="X61" i="1"/>
  <c r="AA60" i="1"/>
  <c r="S60" i="1"/>
  <c r="X60" i="1"/>
  <c r="AA59" i="1"/>
  <c r="S59" i="1"/>
  <c r="X59" i="1"/>
  <c r="AA58" i="1"/>
  <c r="S58" i="1"/>
  <c r="X58" i="1"/>
  <c r="AA57" i="1"/>
  <c r="S57" i="1"/>
  <c r="X57" i="1"/>
  <c r="AA56" i="1"/>
  <c r="S56" i="1"/>
  <c r="X56" i="1"/>
  <c r="AA55" i="1"/>
  <c r="S55" i="1"/>
  <c r="X55" i="1"/>
  <c r="AA54" i="1"/>
  <c r="S54" i="1"/>
  <c r="X54" i="1"/>
  <c r="AA53" i="1"/>
  <c r="S53" i="1"/>
  <c r="X53" i="1"/>
  <c r="AA52" i="1"/>
  <c r="S52" i="1"/>
  <c r="X52" i="1"/>
  <c r="AA51" i="1"/>
  <c r="S51" i="1"/>
  <c r="X51" i="1"/>
  <c r="AA50" i="1"/>
  <c r="S50" i="1"/>
  <c r="X50" i="1"/>
  <c r="AA49" i="1"/>
  <c r="S49" i="1"/>
  <c r="X49" i="1"/>
  <c r="AA48" i="1"/>
  <c r="S48" i="1"/>
  <c r="X48" i="1"/>
  <c r="AA47" i="1"/>
  <c r="S47" i="1"/>
  <c r="X47" i="1"/>
  <c r="AA46" i="1"/>
  <c r="S46" i="1"/>
  <c r="X46" i="1"/>
  <c r="AA45" i="1"/>
  <c r="S45" i="1"/>
  <c r="X45" i="1"/>
  <c r="AA44" i="1"/>
  <c r="S44" i="1"/>
  <c r="X44" i="1"/>
  <c r="AA43" i="1"/>
  <c r="S43" i="1"/>
  <c r="X43" i="1"/>
  <c r="AA42" i="1"/>
  <c r="S42" i="1"/>
  <c r="X42" i="1"/>
  <c r="AA41" i="1"/>
  <c r="S41" i="1"/>
  <c r="X41" i="1"/>
  <c r="AA40" i="1"/>
  <c r="S40" i="1"/>
  <c r="X40" i="1"/>
  <c r="AA39" i="1"/>
  <c r="S39" i="1"/>
  <c r="X39" i="1"/>
  <c r="AA38" i="1"/>
  <c r="S38" i="1"/>
  <c r="X38" i="1"/>
  <c r="AA37" i="1"/>
  <c r="S37" i="1"/>
  <c r="X37" i="1"/>
  <c r="AA36" i="1"/>
  <c r="S36" i="1"/>
  <c r="X36" i="1"/>
  <c r="AA35" i="1"/>
  <c r="S35" i="1"/>
  <c r="X35" i="1"/>
  <c r="AA34" i="1"/>
  <c r="S34" i="1"/>
  <c r="X34" i="1"/>
  <c r="AA33" i="1"/>
  <c r="S33" i="1"/>
  <c r="X33" i="1"/>
  <c r="AA32" i="1"/>
  <c r="S32" i="1"/>
  <c r="X32" i="1"/>
  <c r="AA31" i="1"/>
  <c r="S31" i="1"/>
  <c r="X31" i="1"/>
  <c r="AA30" i="1"/>
  <c r="S30" i="1"/>
  <c r="X30" i="1"/>
  <c r="AA29" i="1"/>
  <c r="S29" i="1"/>
  <c r="X29" i="1"/>
  <c r="AA28" i="1"/>
  <c r="S28" i="1"/>
  <c r="X28" i="1"/>
  <c r="AA27" i="1"/>
  <c r="S27" i="1"/>
  <c r="X27" i="1"/>
  <c r="AA26" i="1"/>
  <c r="S26" i="1"/>
  <c r="X26" i="1"/>
  <c r="AA25" i="1"/>
  <c r="S25" i="1"/>
  <c r="X25" i="1"/>
  <c r="AA24" i="1"/>
  <c r="S24" i="1"/>
  <c r="X24" i="1"/>
  <c r="AA23" i="1"/>
  <c r="S23" i="1"/>
  <c r="X23" i="1"/>
  <c r="AA22" i="1"/>
  <c r="S22" i="1"/>
  <c r="X22" i="1"/>
  <c r="AA21" i="1"/>
  <c r="S21" i="1"/>
  <c r="X21" i="1"/>
  <c r="AA20" i="1"/>
  <c r="S20" i="1"/>
  <c r="X20" i="1"/>
  <c r="AA19" i="1"/>
  <c r="S19" i="1"/>
  <c r="X19" i="1"/>
  <c r="AA18" i="1"/>
  <c r="S18" i="1"/>
  <c r="X18" i="1"/>
  <c r="S17" i="1"/>
  <c r="X17" i="1"/>
  <c r="AA16" i="1"/>
  <c r="S16" i="1"/>
  <c r="X16" i="1"/>
  <c r="AA15" i="1"/>
  <c r="S15" i="1"/>
  <c r="X15" i="1"/>
  <c r="AA14" i="1"/>
  <c r="S14" i="1"/>
  <c r="X14" i="1"/>
  <c r="AA13" i="1"/>
  <c r="S13" i="1"/>
  <c r="X13" i="1"/>
  <c r="AA12" i="1"/>
  <c r="S12" i="1"/>
  <c r="X12" i="1"/>
  <c r="AA11" i="1"/>
  <c r="S11" i="1"/>
  <c r="X11" i="1"/>
  <c r="AA10" i="1"/>
  <c r="S10" i="1"/>
  <c r="X10" i="1"/>
  <c r="AA9" i="1"/>
  <c r="S9" i="1"/>
  <c r="X9" i="1"/>
  <c r="AA8" i="1"/>
  <c r="S8" i="1"/>
  <c r="X8" i="1"/>
  <c r="AA7" i="1"/>
  <c r="S7" i="1"/>
  <c r="X7" i="1"/>
  <c r="S6" i="1"/>
  <c r="AA5" i="1"/>
  <c r="X5" i="1"/>
  <c r="X110" i="1" l="1"/>
  <c r="R169" i="1"/>
  <c r="P171" i="1"/>
  <c r="P170" i="1"/>
  <c r="X123" i="1"/>
  <c r="V42" i="4"/>
  <c r="S46" i="4" l="1"/>
  <c r="Q46" i="4"/>
  <c r="AI169" i="1" l="1"/>
  <c r="AH169" i="1"/>
  <c r="N35" i="4" l="1"/>
  <c r="M35" i="4"/>
  <c r="L35" i="4"/>
  <c r="AG169" i="1" l="1"/>
  <c r="AF169" i="1"/>
  <c r="I46" i="4" l="1"/>
  <c r="H46" i="4"/>
  <c r="G46" i="4"/>
  <c r="N183" i="1"/>
  <c r="D22" i="4" l="1"/>
  <c r="C22" i="4"/>
  <c r="AM102" i="3" l="1"/>
  <c r="AL102" i="3"/>
  <c r="AJ102" i="3"/>
  <c r="AG82" i="3" l="1"/>
  <c r="D6" i="1" l="1"/>
  <c r="AA6" i="1" l="1"/>
  <c r="AA169" i="1" s="1"/>
  <c r="X6" i="1"/>
  <c r="AD63" i="3"/>
  <c r="S4" i="1" l="1"/>
  <c r="V173" i="1" l="1"/>
  <c r="R172" i="1"/>
  <c r="O172" i="1"/>
  <c r="V132" i="1" l="1"/>
  <c r="V133" i="1"/>
  <c r="V123" i="1"/>
  <c r="V105" i="1"/>
  <c r="V106" i="1"/>
  <c r="C33" i="2"/>
  <c r="S5" i="1" l="1"/>
  <c r="S173" i="1"/>
  <c r="U62" i="1" s="1"/>
  <c r="U123" i="1" l="1"/>
  <c r="W123" i="1" s="1"/>
  <c r="U106" i="1"/>
  <c r="W106" i="1" s="1"/>
  <c r="U105" i="1"/>
  <c r="C35" i="2"/>
  <c r="C32" i="2"/>
  <c r="AA40" i="3" l="1"/>
  <c r="O169" i="1" l="1"/>
  <c r="O171" i="1" l="1"/>
  <c r="O170" i="1"/>
  <c r="X40" i="3"/>
  <c r="U53" i="3" l="1"/>
  <c r="R24" i="3" l="1"/>
  <c r="T173" i="1" l="1"/>
  <c r="O35" i="3" l="1"/>
  <c r="N169" i="1"/>
  <c r="N171" i="1" l="1"/>
  <c r="N170" i="1"/>
  <c r="V6" i="1" l="1"/>
  <c r="V30" i="1"/>
  <c r="V42" i="1"/>
  <c r="V46" i="1"/>
  <c r="V51" i="1"/>
  <c r="V55" i="1"/>
  <c r="V59" i="1"/>
  <c r="V64" i="1"/>
  <c r="V112" i="1"/>
  <c r="V117" i="1"/>
  <c r="V129" i="1"/>
  <c r="V136" i="1"/>
  <c r="V141" i="1"/>
  <c r="V150" i="1"/>
  <c r="V156" i="1"/>
  <c r="V162" i="1"/>
  <c r="V166" i="1"/>
  <c r="V60" i="1"/>
  <c r="V127" i="1"/>
  <c r="V7" i="1"/>
  <c r="V19" i="1"/>
  <c r="V26" i="1"/>
  <c r="V32" i="1"/>
  <c r="V38" i="1"/>
  <c r="V43" i="1"/>
  <c r="V48" i="1"/>
  <c r="V56" i="1"/>
  <c r="V61" i="1"/>
  <c r="V66" i="1"/>
  <c r="V71" i="1"/>
  <c r="V113" i="1"/>
  <c r="V119" i="1"/>
  <c r="V130" i="1"/>
  <c r="V137" i="1"/>
  <c r="V142" i="1"/>
  <c r="V151" i="1"/>
  <c r="V159" i="1"/>
  <c r="V163" i="1"/>
  <c r="V167" i="1"/>
  <c r="V128" i="1"/>
  <c r="V15" i="1"/>
  <c r="V28" i="1"/>
  <c r="V35" i="1"/>
  <c r="V40" i="1"/>
  <c r="V49" i="1"/>
  <c r="V53" i="1"/>
  <c r="V68" i="1"/>
  <c r="V72" i="1"/>
  <c r="V110" i="1"/>
  <c r="V114" i="1"/>
  <c r="V120" i="1"/>
  <c r="V124" i="1"/>
  <c r="V131" i="1"/>
  <c r="V138" i="1"/>
  <c r="V143" i="1"/>
  <c r="V153" i="1"/>
  <c r="V160" i="1"/>
  <c r="V164" i="1"/>
  <c r="V16" i="1"/>
  <c r="V29" i="1"/>
  <c r="V36" i="1"/>
  <c r="V45" i="1"/>
  <c r="V54" i="1"/>
  <c r="V58" i="1"/>
  <c r="V63" i="1"/>
  <c r="V69" i="1"/>
  <c r="V73" i="1"/>
  <c r="V111" i="1"/>
  <c r="V115" i="1"/>
  <c r="V121" i="1"/>
  <c r="V126" i="1"/>
  <c r="V134" i="1"/>
  <c r="V140" i="1"/>
  <c r="V145" i="1"/>
  <c r="V154" i="1"/>
  <c r="V161" i="1"/>
  <c r="V165" i="1"/>
  <c r="V118" i="1"/>
  <c r="V76" i="1"/>
  <c r="V75" i="1"/>
  <c r="V70" i="1"/>
  <c r="V50" i="1"/>
  <c r="V44" i="1"/>
  <c r="V37" i="1"/>
  <c r="V25" i="1"/>
  <c r="V21" i="1"/>
  <c r="V17" i="1"/>
  <c r="V13" i="1"/>
  <c r="V14" i="1"/>
  <c r="V9" i="1"/>
  <c r="V122" i="1"/>
  <c r="V57" i="1"/>
  <c r="V52" i="1"/>
  <c r="V20" i="1"/>
  <c r="V12" i="1"/>
  <c r="V168" i="1"/>
  <c r="V88" i="1"/>
  <c r="V108" i="1"/>
  <c r="V85" i="1"/>
  <c r="V89" i="1"/>
  <c r="V96" i="1"/>
  <c r="V102" i="1"/>
  <c r="V109" i="1"/>
  <c r="V82" i="1"/>
  <c r="V95" i="1"/>
  <c r="V78" i="1"/>
  <c r="V86" i="1"/>
  <c r="V92" i="1"/>
  <c r="V97" i="1"/>
  <c r="V103" i="1"/>
  <c r="V80" i="1"/>
  <c r="V101" i="1"/>
  <c r="V79" i="1"/>
  <c r="V87" i="1"/>
  <c r="V94" i="1"/>
  <c r="V98" i="1"/>
  <c r="V107" i="1"/>
  <c r="V41" i="1"/>
  <c r="V99" i="1" l="1"/>
  <c r="V93" i="1"/>
  <c r="U173" i="1"/>
  <c r="L36" i="3" l="1"/>
  <c r="V149" i="1" l="1"/>
  <c r="V148" i="1"/>
  <c r="V152" i="1"/>
  <c r="V147" i="1"/>
  <c r="I28" i="3"/>
  <c r="V139" i="1" l="1"/>
  <c r="V155" i="1"/>
  <c r="V22" i="1"/>
  <c r="V125" i="1"/>
  <c r="V18" i="1"/>
  <c r="V146" i="1"/>
  <c r="V31" i="1"/>
  <c r="V90" i="1"/>
  <c r="V84" i="1"/>
  <c r="V100" i="1"/>
  <c r="D62" i="1"/>
  <c r="X62" i="1" l="1"/>
  <c r="V62" i="1"/>
  <c r="V116" i="1"/>
  <c r="V158" i="1" l="1"/>
  <c r="V8" i="1"/>
  <c r="V34" i="1"/>
  <c r="V33" i="1"/>
  <c r="V81" i="1"/>
  <c r="G42" i="3" l="1"/>
  <c r="E42" i="3"/>
  <c r="V83" i="1" l="1"/>
  <c r="V157" i="1"/>
  <c r="V23" i="1"/>
  <c r="V144" i="1"/>
  <c r="V10" i="1"/>
  <c r="V67" i="1"/>
  <c r="V11" i="1"/>
  <c r="V65" i="1"/>
  <c r="V27" i="1"/>
  <c r="V91" i="1"/>
  <c r="D172" i="1"/>
  <c r="C172" i="1"/>
  <c r="U83" i="1" l="1"/>
  <c r="U129" i="1"/>
  <c r="U128" i="1"/>
  <c r="U165" i="1"/>
  <c r="U164" i="1"/>
  <c r="U161" i="1"/>
  <c r="U156" i="1"/>
  <c r="U152" i="1"/>
  <c r="U151" i="1"/>
  <c r="U150" i="1"/>
  <c r="U148" i="1"/>
  <c r="U146" i="1"/>
  <c r="U144" i="1"/>
  <c r="U140" i="1"/>
  <c r="U136" i="1"/>
  <c r="U135" i="1"/>
  <c r="U133" i="1"/>
  <c r="U132" i="1"/>
  <c r="U104" i="1"/>
  <c r="U77" i="1"/>
  <c r="U74" i="1"/>
  <c r="U69" i="1"/>
  <c r="U66" i="1"/>
  <c r="U64" i="1"/>
  <c r="U61" i="1"/>
  <c r="U58" i="1"/>
  <c r="U57" i="1"/>
  <c r="U54" i="1"/>
  <c r="U53" i="1"/>
  <c r="U52" i="1"/>
  <c r="U47" i="1"/>
  <c r="U46" i="1"/>
  <c r="U42" i="1"/>
  <c r="U39" i="1"/>
  <c r="U38" i="1"/>
  <c r="U37" i="1"/>
  <c r="U36" i="1"/>
  <c r="U33" i="1"/>
  <c r="U29" i="1"/>
  <c r="U24" i="1"/>
  <c r="U21" i="1"/>
  <c r="U20" i="1"/>
  <c r="U17" i="1"/>
  <c r="U15" i="1"/>
  <c r="U13" i="1"/>
  <c r="U9" i="1"/>
  <c r="U8" i="1"/>
  <c r="U7" i="1"/>
  <c r="U5" i="1"/>
  <c r="Y5" i="1" s="1"/>
  <c r="D171" i="1"/>
  <c r="C171" i="1"/>
  <c r="W21" i="1" l="1"/>
  <c r="Y21" i="1"/>
  <c r="W7" i="1"/>
  <c r="Y7" i="1"/>
  <c r="W15" i="1"/>
  <c r="Y15" i="1"/>
  <c r="W37" i="1"/>
  <c r="Y37" i="1"/>
  <c r="W46" i="1"/>
  <c r="Y46" i="1"/>
  <c r="W54" i="1"/>
  <c r="Y54" i="1"/>
  <c r="W64" i="1"/>
  <c r="Y64" i="1"/>
  <c r="W146" i="1"/>
  <c r="Y146" i="1"/>
  <c r="W165" i="1"/>
  <c r="Y165" i="1"/>
  <c r="W33" i="1"/>
  <c r="Y33" i="1"/>
  <c r="W13" i="1"/>
  <c r="Y13" i="1"/>
  <c r="W42" i="1"/>
  <c r="Y42" i="1"/>
  <c r="W8" i="1"/>
  <c r="Y8" i="1"/>
  <c r="W17" i="1"/>
  <c r="Y17" i="1"/>
  <c r="W29" i="1"/>
  <c r="Y29" i="1"/>
  <c r="W38" i="1"/>
  <c r="Y38" i="1"/>
  <c r="W57" i="1"/>
  <c r="Y57" i="1"/>
  <c r="W66" i="1"/>
  <c r="Y66" i="1"/>
  <c r="W136" i="1"/>
  <c r="Y136" i="1"/>
  <c r="W148" i="1"/>
  <c r="Y148" i="1"/>
  <c r="W156" i="1"/>
  <c r="Y156" i="1"/>
  <c r="W128" i="1"/>
  <c r="Y128" i="1"/>
  <c r="W20" i="1"/>
  <c r="Y20" i="1"/>
  <c r="W52" i="1"/>
  <c r="Y52" i="1"/>
  <c r="W58" i="1"/>
  <c r="Y58" i="1"/>
  <c r="W69" i="1"/>
  <c r="Y69" i="1"/>
  <c r="W140" i="1"/>
  <c r="Y140" i="1"/>
  <c r="W150" i="1"/>
  <c r="Y150" i="1"/>
  <c r="W161" i="1"/>
  <c r="Y161" i="1"/>
  <c r="W129" i="1"/>
  <c r="Y129" i="1"/>
  <c r="W9" i="1"/>
  <c r="Y9" i="1"/>
  <c r="W36" i="1"/>
  <c r="Y36" i="1"/>
  <c r="W53" i="1"/>
  <c r="Y53" i="1"/>
  <c r="W61" i="1"/>
  <c r="Y61" i="1"/>
  <c r="W144" i="1"/>
  <c r="Y144" i="1"/>
  <c r="W151" i="1"/>
  <c r="Y151" i="1"/>
  <c r="W164" i="1"/>
  <c r="Y164" i="1"/>
  <c r="W83" i="1"/>
  <c r="Y83" i="1"/>
  <c r="W152" i="1"/>
  <c r="Y152" i="1"/>
  <c r="U6" i="1"/>
  <c r="U162" i="1"/>
  <c r="U23" i="1"/>
  <c r="U56" i="1"/>
  <c r="U67" i="1"/>
  <c r="U166" i="1"/>
  <c r="U19" i="1"/>
  <c r="U55" i="1"/>
  <c r="U163" i="1"/>
  <c r="U22" i="1"/>
  <c r="U145" i="1"/>
  <c r="U167" i="1"/>
  <c r="U18" i="1"/>
  <c r="U40" i="1"/>
  <c r="U142" i="1"/>
  <c r="U14" i="1"/>
  <c r="U48" i="1"/>
  <c r="U60" i="1"/>
  <c r="U137" i="1"/>
  <c r="U153" i="1"/>
  <c r="U59" i="1"/>
  <c r="U141" i="1"/>
  <c r="U157" i="1"/>
  <c r="U28" i="1"/>
  <c r="U44" i="1"/>
  <c r="U147" i="1"/>
  <c r="U26" i="1"/>
  <c r="U43" i="1"/>
  <c r="U16" i="1"/>
  <c r="U32" i="1"/>
  <c r="U50" i="1"/>
  <c r="U139" i="1"/>
  <c r="U155" i="1"/>
  <c r="U10" i="1"/>
  <c r="U27" i="1"/>
  <c r="U51" i="1"/>
  <c r="U63" i="1"/>
  <c r="U143" i="1"/>
  <c r="U159" i="1"/>
  <c r="U12" i="1"/>
  <c r="U30" i="1"/>
  <c r="U49" i="1"/>
  <c r="U138" i="1"/>
  <c r="U154" i="1"/>
  <c r="U11" i="1"/>
  <c r="U34" i="1"/>
  <c r="U45" i="1"/>
  <c r="U68" i="1"/>
  <c r="U149" i="1"/>
  <c r="U160" i="1"/>
  <c r="U65" i="1"/>
  <c r="U31" i="1"/>
  <c r="U25" i="1"/>
  <c r="U168" i="1"/>
  <c r="U71" i="1"/>
  <c r="U79" i="1"/>
  <c r="U91" i="1"/>
  <c r="U99" i="1"/>
  <c r="U108" i="1"/>
  <c r="U116" i="1"/>
  <c r="U124" i="1"/>
  <c r="U76" i="1"/>
  <c r="U84" i="1"/>
  <c r="U92" i="1"/>
  <c r="U96" i="1"/>
  <c r="U100" i="1"/>
  <c r="U109" i="1"/>
  <c r="U113" i="1"/>
  <c r="U117" i="1"/>
  <c r="U121" i="1"/>
  <c r="U125" i="1"/>
  <c r="U103" i="1"/>
  <c r="U72" i="1"/>
  <c r="U81" i="1"/>
  <c r="U85" i="1"/>
  <c r="U89" i="1"/>
  <c r="U93" i="1"/>
  <c r="U97" i="1"/>
  <c r="U101" i="1"/>
  <c r="U110" i="1"/>
  <c r="U114" i="1"/>
  <c r="U118" i="1"/>
  <c r="U122" i="1"/>
  <c r="U126" i="1"/>
  <c r="U130" i="1"/>
  <c r="U134" i="1"/>
  <c r="U75" i="1"/>
  <c r="U87" i="1"/>
  <c r="U95" i="1"/>
  <c r="U112" i="1"/>
  <c r="U120" i="1"/>
  <c r="U80" i="1"/>
  <c r="U88" i="1"/>
  <c r="U73" i="1"/>
  <c r="U70" i="1"/>
  <c r="U78" i="1"/>
  <c r="U82" i="1"/>
  <c r="U86" i="1"/>
  <c r="U90" i="1"/>
  <c r="U94" i="1"/>
  <c r="U98" i="1"/>
  <c r="U102" i="1"/>
  <c r="U107" i="1"/>
  <c r="U111" i="1"/>
  <c r="U115" i="1"/>
  <c r="U119" i="1"/>
  <c r="U127" i="1"/>
  <c r="U131" i="1"/>
  <c r="U41" i="1"/>
  <c r="C169" i="1"/>
  <c r="C181" i="1"/>
  <c r="D181" i="1"/>
  <c r="D169" i="1"/>
  <c r="M182" i="1"/>
  <c r="B46" i="3"/>
  <c r="W107" i="1" l="1"/>
  <c r="Y107" i="1"/>
  <c r="W75" i="1"/>
  <c r="Y75" i="1"/>
  <c r="W122" i="1"/>
  <c r="Y122" i="1"/>
  <c r="W105" i="1"/>
  <c r="Y105" i="1"/>
  <c r="W89" i="1"/>
  <c r="Y89" i="1"/>
  <c r="W113" i="1"/>
  <c r="Y113" i="1"/>
  <c r="W92" i="1"/>
  <c r="Y92" i="1"/>
  <c r="W116" i="1"/>
  <c r="Y116" i="1"/>
  <c r="W79" i="1"/>
  <c r="Y79" i="1"/>
  <c r="W31" i="1"/>
  <c r="Y31" i="1"/>
  <c r="W68" i="1"/>
  <c r="Y68" i="1"/>
  <c r="W154" i="1"/>
  <c r="Y154" i="1"/>
  <c r="W12" i="1"/>
  <c r="Y12" i="1"/>
  <c r="W51" i="1"/>
  <c r="Y51" i="1"/>
  <c r="W139" i="1"/>
  <c r="Y139" i="1"/>
  <c r="W16" i="1"/>
  <c r="Y16" i="1"/>
  <c r="W44" i="1"/>
  <c r="Y44" i="1"/>
  <c r="W59" i="1"/>
  <c r="Y59" i="1"/>
  <c r="W48" i="1"/>
  <c r="Y48" i="1"/>
  <c r="W18" i="1"/>
  <c r="Y18" i="1"/>
  <c r="W163" i="1"/>
  <c r="Y163" i="1"/>
  <c r="W67" i="1"/>
  <c r="Y67" i="1"/>
  <c r="W6" i="1"/>
  <c r="Y6" i="1"/>
  <c r="W90" i="1"/>
  <c r="Y90" i="1"/>
  <c r="W41" i="1"/>
  <c r="Y41" i="1"/>
  <c r="W102" i="1"/>
  <c r="Y102" i="1"/>
  <c r="W86" i="1"/>
  <c r="Y86" i="1"/>
  <c r="W73" i="1"/>
  <c r="Y73" i="1"/>
  <c r="W112" i="1"/>
  <c r="Y112" i="1"/>
  <c r="W134" i="1"/>
  <c r="Y134" i="1"/>
  <c r="W118" i="1"/>
  <c r="Y118" i="1"/>
  <c r="W101" i="1"/>
  <c r="Y101" i="1"/>
  <c r="W85" i="1"/>
  <c r="Y85" i="1"/>
  <c r="W125" i="1"/>
  <c r="Y125" i="1"/>
  <c r="W109" i="1"/>
  <c r="Y109" i="1"/>
  <c r="W84" i="1"/>
  <c r="Y84" i="1"/>
  <c r="W108" i="1"/>
  <c r="Y108" i="1"/>
  <c r="W71" i="1"/>
  <c r="Y71" i="1"/>
  <c r="W65" i="1"/>
  <c r="Y65" i="1"/>
  <c r="W45" i="1"/>
  <c r="Y45" i="1"/>
  <c r="W138" i="1"/>
  <c r="Y138" i="1"/>
  <c r="W27" i="1"/>
  <c r="Y27" i="1"/>
  <c r="W62" i="1"/>
  <c r="Y62" i="1"/>
  <c r="W43" i="1"/>
  <c r="Y43" i="1"/>
  <c r="W28" i="1"/>
  <c r="Y28" i="1"/>
  <c r="W153" i="1"/>
  <c r="Y153" i="1"/>
  <c r="W14" i="1"/>
  <c r="Y14" i="1"/>
  <c r="W167" i="1"/>
  <c r="Y167" i="1"/>
  <c r="W55" i="1"/>
  <c r="Y55" i="1"/>
  <c r="W56" i="1"/>
  <c r="Y56" i="1"/>
  <c r="Y123" i="1"/>
  <c r="W120" i="1"/>
  <c r="Y120" i="1"/>
  <c r="W131" i="1"/>
  <c r="Y131" i="1"/>
  <c r="W98" i="1"/>
  <c r="Y98" i="1"/>
  <c r="W88" i="1"/>
  <c r="Y88" i="1"/>
  <c r="W130" i="1"/>
  <c r="Y130" i="1"/>
  <c r="W114" i="1"/>
  <c r="Y114" i="1"/>
  <c r="W97" i="1"/>
  <c r="Y97" i="1"/>
  <c r="W81" i="1"/>
  <c r="Y81" i="1"/>
  <c r="W121" i="1"/>
  <c r="Y121" i="1"/>
  <c r="W100" i="1"/>
  <c r="Y100" i="1"/>
  <c r="W76" i="1"/>
  <c r="Y76" i="1"/>
  <c r="W99" i="1"/>
  <c r="Y99" i="1"/>
  <c r="W168" i="1"/>
  <c r="Y168" i="1"/>
  <c r="W34" i="1"/>
  <c r="Y34" i="1"/>
  <c r="W49" i="1"/>
  <c r="Y49" i="1"/>
  <c r="W143" i="1"/>
  <c r="Y143" i="1"/>
  <c r="W10" i="1"/>
  <c r="Y10" i="1"/>
  <c r="W50" i="1"/>
  <c r="Y50" i="1"/>
  <c r="W26" i="1"/>
  <c r="Y26" i="1"/>
  <c r="W157" i="1"/>
  <c r="Y157" i="1"/>
  <c r="W137" i="1"/>
  <c r="Y137" i="1"/>
  <c r="W142" i="1"/>
  <c r="Y142" i="1"/>
  <c r="W145" i="1"/>
  <c r="Y145" i="1"/>
  <c r="W19" i="1"/>
  <c r="Y19" i="1"/>
  <c r="W23" i="1"/>
  <c r="Y23" i="1"/>
  <c r="W70" i="1"/>
  <c r="Y70" i="1"/>
  <c r="W119" i="1"/>
  <c r="Y119" i="1"/>
  <c r="W115" i="1"/>
  <c r="Y115" i="1"/>
  <c r="W82" i="1"/>
  <c r="Y82" i="1"/>
  <c r="W127" i="1"/>
  <c r="Y127" i="1"/>
  <c r="W111" i="1"/>
  <c r="Y111" i="1"/>
  <c r="W78" i="1"/>
  <c r="Y78" i="1"/>
  <c r="W80" i="1"/>
  <c r="Y80" i="1"/>
  <c r="W87" i="1"/>
  <c r="Y87" i="1"/>
  <c r="W126" i="1"/>
  <c r="Y126" i="1"/>
  <c r="W110" i="1"/>
  <c r="Y110" i="1"/>
  <c r="W93" i="1"/>
  <c r="Y93" i="1"/>
  <c r="W72" i="1"/>
  <c r="Y72" i="1"/>
  <c r="W117" i="1"/>
  <c r="Y117" i="1"/>
  <c r="W96" i="1"/>
  <c r="Y96" i="1"/>
  <c r="W124" i="1"/>
  <c r="Y124" i="1"/>
  <c r="W91" i="1"/>
  <c r="Y91" i="1"/>
  <c r="W25" i="1"/>
  <c r="Y25" i="1"/>
  <c r="W149" i="1"/>
  <c r="Y149" i="1"/>
  <c r="W11" i="1"/>
  <c r="Y11" i="1"/>
  <c r="W30" i="1"/>
  <c r="Y30" i="1"/>
  <c r="W63" i="1"/>
  <c r="Y63" i="1"/>
  <c r="W155" i="1"/>
  <c r="Y155" i="1"/>
  <c r="W32" i="1"/>
  <c r="Y32" i="1"/>
  <c r="W147" i="1"/>
  <c r="Y147" i="1"/>
  <c r="W141" i="1"/>
  <c r="Y141" i="1"/>
  <c r="W60" i="1"/>
  <c r="Y60" i="1"/>
  <c r="W40" i="1"/>
  <c r="Y40" i="1"/>
  <c r="W22" i="1"/>
  <c r="Y22" i="1"/>
  <c r="W162" i="1"/>
  <c r="Y162" i="1"/>
  <c r="W166" i="1"/>
  <c r="Y166" i="1"/>
  <c r="W160" i="1"/>
  <c r="Y160" i="1"/>
  <c r="W159" i="1"/>
  <c r="Y159" i="1"/>
  <c r="W95" i="1"/>
  <c r="Y95" i="1"/>
  <c r="W94" i="1"/>
  <c r="Y94" i="1"/>
  <c r="W103" i="1"/>
  <c r="Y103" i="1"/>
  <c r="V5" i="1"/>
  <c r="W5" i="1" s="1"/>
  <c r="Y132" i="1" l="1"/>
  <c r="Y47" i="1"/>
  <c r="Y133" i="1"/>
  <c r="Y135" i="1"/>
  <c r="W133" i="1" l="1"/>
  <c r="W132" i="1"/>
  <c r="U158" i="1"/>
  <c r="V135" i="1"/>
  <c r="W135" i="1" s="1"/>
  <c r="V47" i="1"/>
  <c r="W47" i="1" s="1"/>
  <c r="Y104" i="1"/>
  <c r="W158" i="1" l="1"/>
  <c r="Y158" i="1"/>
  <c r="V104" i="1"/>
  <c r="W104" i="1" s="1"/>
  <c r="Y24" i="1"/>
  <c r="Y77" i="1"/>
  <c r="Y39" i="1"/>
  <c r="Y74" i="1"/>
  <c r="U35" i="1" l="1"/>
  <c r="V74" i="1"/>
  <c r="W74" i="1" s="1"/>
  <c r="V39" i="1"/>
  <c r="W39" i="1" s="1"/>
  <c r="V24" i="1"/>
  <c r="W24" i="1" s="1"/>
  <c r="V77" i="1"/>
  <c r="W77" i="1" s="1"/>
  <c r="T172" i="1"/>
  <c r="W35" i="1" l="1"/>
  <c r="Y35" i="1"/>
  <c r="R170" i="1"/>
  <c r="R171" i="1"/>
  <c r="W173" i="1" l="1"/>
  <c r="V171" i="1" l="1"/>
  <c r="S172" i="1"/>
  <c r="S169" i="1" l="1"/>
  <c r="S170" i="1" s="1"/>
  <c r="W171" i="1" l="1"/>
  <c r="U171" i="1"/>
  <c r="S171" i="1"/>
  <c r="M172" i="1" l="1"/>
  <c r="L172" i="1"/>
  <c r="K172" i="1"/>
  <c r="J172" i="1"/>
  <c r="I172" i="1"/>
  <c r="H172" i="1"/>
  <c r="G172" i="1"/>
  <c r="F172" i="1"/>
  <c r="E172" i="1"/>
  <c r="M169" i="1" l="1"/>
  <c r="M170" i="1" s="1"/>
  <c r="L169" i="1"/>
  <c r="K169" i="1"/>
  <c r="J169" i="1"/>
  <c r="J170" i="1" s="1"/>
  <c r="I169" i="1"/>
  <c r="I170" i="1" s="1"/>
  <c r="H169" i="1"/>
  <c r="K171" i="1" l="1"/>
  <c r="K170" i="1"/>
  <c r="H171" i="1"/>
  <c r="H170" i="1"/>
  <c r="L171" i="1"/>
  <c r="L170" i="1"/>
  <c r="I171" i="1"/>
  <c r="M171" i="1"/>
  <c r="J171" i="1"/>
  <c r="G169" i="1" l="1"/>
  <c r="G170" i="1" s="1"/>
  <c r="F169" i="1"/>
  <c r="E169" i="1"/>
  <c r="M184" i="1" l="1"/>
  <c r="F170" i="1"/>
  <c r="E171" i="1"/>
  <c r="E170" i="1"/>
  <c r="M183" i="1"/>
  <c r="F171" i="1"/>
  <c r="G171" i="1"/>
  <c r="T169" i="1"/>
  <c r="T170" i="1" s="1"/>
  <c r="M185" i="1" l="1"/>
  <c r="M186" i="1" s="1"/>
  <c r="T171" i="1"/>
  <c r="M188" i="1" l="1"/>
  <c r="M189" i="1" s="1"/>
  <c r="K193" i="1"/>
</calcChain>
</file>

<file path=xl/comments1.xml><?xml version="1.0" encoding="utf-8"?>
<comments xmlns="http://schemas.openxmlformats.org/spreadsheetml/2006/main">
  <authors>
    <author>Автор</author>
  </authors>
  <commentList>
    <comment ref="J3" authorId="0" shapeId="0">
      <text>
        <r>
          <rPr>
            <b/>
            <sz val="9"/>
            <color indexed="81"/>
            <rFont val="Tahoma"/>
            <family val="2"/>
            <charset val="204"/>
          </rPr>
          <t>Дорога от шоссе до поворота к нам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 shapeId="0">
      <text>
        <r>
          <rPr>
            <b/>
            <sz val="9"/>
            <color indexed="81"/>
            <rFont val="Tahoma"/>
            <family val="2"/>
            <charset val="204"/>
          </rPr>
          <t>взнос нужно сдать в течение ноября 2023 года</t>
        </r>
      </text>
    </comment>
    <comment ref="AC3" authorId="0" shapeId="0">
      <text>
        <r>
          <rPr>
            <b/>
            <sz val="9"/>
            <color indexed="81"/>
            <rFont val="Tahoma"/>
            <family val="2"/>
            <charset val="204"/>
          </rPr>
          <t>Берется из таблицы за предыдущий месяц</t>
        </r>
      </text>
    </comment>
    <comment ref="AD3" authorId="0" shapeId="0">
      <text>
        <r>
          <rPr>
            <b/>
            <sz val="9"/>
            <color indexed="81"/>
            <rFont val="Tahoma"/>
            <family val="2"/>
            <charset val="204"/>
          </rPr>
          <t>Берется из таблицы за предыдущий месяц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долг за электрофикацию
оплачено в июле 25
</t>
        </r>
      </text>
    </comment>
    <comment ref="K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декабре 1400
</t>
        </r>
      </text>
    </comment>
    <comment ref="M6" authorId="0" shapeId="0">
      <text>
        <r>
          <rPr>
            <sz val="9"/>
            <color indexed="81"/>
            <rFont val="Tahoma"/>
            <family val="2"/>
            <charset val="204"/>
          </rPr>
          <t xml:space="preserve">4900 оплачено в феврале
</t>
        </r>
      </text>
    </comment>
    <comment ref="N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апреле 4100
</t>
        </r>
      </text>
    </comment>
    <comment ref="P8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июне
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  <charset val="204"/>
          </rPr>
          <t>внесено в мае 26</t>
        </r>
      </text>
    </comment>
    <comment ref="K1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феврале 26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внесено в мае 26
</t>
        </r>
      </text>
    </comment>
    <comment ref="N12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апреле 1000
оплачено в феврале26</t>
        </r>
      </text>
    </comment>
    <comment ref="P1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июне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24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марте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2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внесено в июне
9100
</t>
        </r>
      </text>
    </comment>
    <comment ref="P4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взыскание в апреле 215.00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G41" authorId="0" shapeId="0">
      <text>
        <r>
          <rPr>
            <b/>
            <sz val="9"/>
            <color indexed="81"/>
            <rFont val="Tahoma"/>
            <family val="2"/>
            <charset val="204"/>
          </rPr>
          <t>списан долг в результате учета пени и суд.издержек</t>
        </r>
      </text>
    </comment>
    <comment ref="AK47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предыдушие месяцы</t>
        </r>
      </text>
    </comment>
    <comment ref="N48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4600 оплачено в декабре
</t>
        </r>
      </text>
    </comment>
    <comment ref="AF48" authorId="0" shapeId="0">
      <text>
        <r>
          <rPr>
            <b/>
            <sz val="9"/>
            <color indexed="81"/>
            <rFont val="Tahoma"/>
            <family val="2"/>
            <charset val="204"/>
          </rPr>
          <t>в дек 2023 списаны долги пр.влад. 3000 за 15-16 и 6000 за 16-17</t>
        </r>
      </text>
    </comment>
    <comment ref="C55" authorId="0" shapeId="0">
      <text>
        <r>
          <rPr>
            <b/>
            <sz val="9"/>
            <color indexed="81"/>
            <rFont val="Tahoma"/>
            <family val="2"/>
            <charset val="204"/>
          </rPr>
          <t>за электрофикацию 14000руб и дорогу СНТ 11000руб</t>
        </r>
      </text>
    </comment>
    <comment ref="D55" authorId="0" shapeId="0">
      <text>
        <r>
          <rPr>
            <b/>
            <sz val="9"/>
            <color indexed="81"/>
            <rFont val="Tahoma"/>
            <family val="2"/>
            <charset val="204"/>
          </rPr>
          <t>за 16-17г</t>
        </r>
      </text>
    </comment>
    <comment ref="C6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за электрофикацию.
Внесено новым владельцем 82000 в июне
</t>
        </r>
      </text>
    </comment>
    <comment ref="N6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мае
</t>
        </r>
      </text>
    </comment>
    <comment ref="P7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апреле на 25-26 гг 12000
</t>
        </r>
      </text>
    </comment>
    <comment ref="Q71" authorId="0" shapeId="0">
      <text>
        <r>
          <rPr>
            <sz val="9"/>
            <color indexed="81"/>
            <rFont val="Tahoma"/>
            <family val="2"/>
            <charset val="204"/>
          </rPr>
          <t xml:space="preserve">+12500 за 26-27 гг.
</t>
        </r>
      </text>
    </comment>
    <comment ref="AB7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Оплата нашего интернет сайта 22-23г.
</t>
        </r>
      </text>
    </comment>
    <comment ref="AG75" authorId="0" shapeId="0">
      <text>
        <r>
          <rPr>
            <b/>
            <sz val="9"/>
            <color indexed="81"/>
            <rFont val="Tahoma"/>
            <family val="2"/>
            <charset val="204"/>
          </rPr>
          <t>Списано в июле 2024</t>
        </r>
      </text>
    </comment>
    <comment ref="AG95" authorId="0" shapeId="0">
      <text>
        <r>
          <rPr>
            <b/>
            <sz val="9"/>
            <color indexed="81"/>
            <rFont val="Tahoma"/>
            <family val="2"/>
            <charset val="204"/>
          </rPr>
          <t>в дек 2023
 списан долг пр.влад. За 19-20г</t>
        </r>
      </text>
    </comment>
    <comment ref="C110" authorId="0" shapeId="0">
      <text>
        <r>
          <rPr>
            <b/>
            <sz val="9"/>
            <color indexed="81"/>
            <rFont val="Tahoma"/>
            <family val="2"/>
            <charset val="204"/>
          </rPr>
          <t>долг за строительство дороги внутри СНТ</t>
        </r>
      </text>
    </comment>
    <comment ref="D110" authorId="0" shapeId="0">
      <text>
        <r>
          <rPr>
            <b/>
            <sz val="9"/>
            <color indexed="81"/>
            <rFont val="Tahoma"/>
            <family val="2"/>
            <charset val="204"/>
          </rPr>
          <t>5000 руб в июле - погашение долга</t>
        </r>
      </text>
    </comment>
    <comment ref="H110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апреле 4000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19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119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взыскано по суду
</t>
        </r>
      </text>
    </comment>
    <comment ref="AF119" authorId="0" shapeId="0">
      <text>
        <r>
          <rPr>
            <b/>
            <sz val="9"/>
            <color indexed="81"/>
            <rFont val="Tahoma"/>
            <family val="2"/>
            <charset val="204"/>
          </rPr>
          <t>в марте 2024 списан долг прежнего хозяина за 16-17г</t>
        </r>
      </text>
    </comment>
    <comment ref="I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20" authorId="0" shapeId="0">
      <text>
        <r>
          <rPr>
            <sz val="9"/>
            <color indexed="81"/>
            <rFont val="Tahoma"/>
            <family val="2"/>
            <charset val="204"/>
          </rPr>
          <t xml:space="preserve">взыскано по суду
</t>
        </r>
      </text>
    </comment>
    <comment ref="M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120" authorId="0" shapeId="0">
      <text>
        <r>
          <rPr>
            <b/>
            <sz val="9"/>
            <color indexed="81"/>
            <rFont val="Tahoma"/>
            <family val="2"/>
            <charset val="204"/>
          </rPr>
          <t>взыскано по суду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G120" authorId="0" shapeId="0">
      <text>
        <r>
          <rPr>
            <b/>
            <sz val="9"/>
            <color indexed="81"/>
            <rFont val="Tahoma"/>
            <family val="2"/>
            <charset val="204"/>
          </rPr>
          <t>По суду признан просроченным по сроку исковой давности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22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сентябре 25</t>
        </r>
      </text>
    </comment>
    <comment ref="AC122" authorId="0" shapeId="0">
      <text>
        <r>
          <rPr>
            <sz val="9"/>
            <color indexed="81"/>
            <rFont val="Tahoma"/>
            <family val="2"/>
            <charset val="204"/>
          </rPr>
          <t xml:space="preserve">коррекция в октябре: убрано из взносов за дороги внутри снт 268.28
</t>
        </r>
      </text>
    </comment>
    <comment ref="C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</t>
        </r>
      </text>
    </comment>
    <comment ref="D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</t>
        </r>
      </text>
    </comment>
    <comment ref="E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</t>
        </r>
      </text>
    </comment>
    <comment ref="J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взыскано по суду 24 г
3100 оплачено в январе</t>
        </r>
      </text>
    </comment>
    <comment ref="K123" authorId="0" shapeId="0">
      <text>
        <r>
          <rPr>
            <b/>
            <sz val="9"/>
            <color indexed="81"/>
            <rFont val="Tahoma"/>
            <family val="2"/>
            <charset val="204"/>
          </rPr>
          <t>4150 оплачено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L12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январе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M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N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оплчено в январе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D123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ноябре по суду 45000
</t>
        </r>
      </text>
    </comment>
    <comment ref="AE123" authorId="0" shapeId="0">
      <text>
        <r>
          <rPr>
            <b/>
            <sz val="9"/>
            <color indexed="81"/>
            <rFont val="Tahoma"/>
            <family val="2"/>
            <charset val="204"/>
          </rPr>
          <t>оплачено в ноябре по суду 7200</t>
        </r>
      </text>
    </comment>
    <comment ref="AI12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15000 - юристы
15000 - пеня
взыскано в ноябре 24
3376 госпошлина</t>
        </r>
      </text>
    </comment>
    <comment ref="N137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оплачено в декабре 4740
</t>
        </r>
      </text>
    </comment>
    <comment ref="AG139" authorId="0" shapeId="0">
      <text>
        <r>
          <rPr>
            <b/>
            <sz val="9"/>
            <color indexed="81"/>
            <rFont val="Tahoma"/>
            <family val="2"/>
            <charset val="204"/>
          </rPr>
          <t>в апреле 2024 списан долг старого хозяина за 2018-2019</t>
        </r>
      </text>
    </comment>
    <comment ref="AF146" authorId="0" shapeId="0">
      <text>
        <r>
          <rPr>
            <b/>
            <sz val="9"/>
            <color indexed="81"/>
            <rFont val="Tahoma"/>
            <family val="2"/>
            <charset val="204"/>
          </rPr>
          <t>в дек 2023 списан долг преж. влад. За 16-17г</t>
        </r>
      </text>
    </comment>
    <comment ref="AG150" authorId="0" shapeId="0">
      <text>
        <r>
          <rPr>
            <b/>
            <sz val="9"/>
            <color indexed="81"/>
            <rFont val="Tahoma"/>
            <family val="2"/>
            <charset val="204"/>
          </rPr>
          <t>в сент 2024 списан долг преж. влад. За 18-19г</t>
        </r>
      </text>
    </comment>
    <comment ref="P165" authorId="0" shapeId="0">
      <text>
        <r>
          <rPr>
            <b/>
            <sz val="9"/>
            <color indexed="81"/>
            <rFont val="Tahoma"/>
            <family val="2"/>
            <charset val="204"/>
          </rPr>
          <t>Переплата 4268, зачислить на следующий год.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169" authorId="0" shapeId="0">
      <text>
        <r>
          <rPr>
            <b/>
            <sz val="9"/>
            <color indexed="81"/>
            <rFont val="Tahoma"/>
            <family val="2"/>
            <charset val="204"/>
          </rPr>
          <t>с учетом погашения долга в 2023 г.</t>
        </r>
      </text>
    </comment>
    <comment ref="N17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долг со всех участков на начало текущего месяца по членским взносам за этот год </t>
        </r>
      </text>
    </comment>
    <comment ref="Q172" authorId="0" shapeId="0">
      <text>
        <r>
          <rPr>
            <b/>
            <sz val="9"/>
            <color indexed="81"/>
            <rFont val="Tahoma"/>
            <family val="2"/>
            <charset val="204"/>
          </rPr>
          <t>Эту сумму членских взносов за текущий год нужно сдать со всех участков до начала текущего месяца</t>
        </r>
      </text>
    </comment>
    <comment ref="R173" authorId="0" shapeId="0">
      <text>
        <r>
          <rPr>
            <b/>
            <sz val="9"/>
            <color indexed="81"/>
            <rFont val="Tahoma"/>
            <family val="2"/>
            <charset val="204"/>
          </rPr>
          <t>Это сумма, требуемая для членских взносов с участка на начало текущего месяца с 1.06.2018</t>
        </r>
      </text>
    </comment>
    <comment ref="V173" authorId="0" shapeId="0">
      <text>
        <r>
          <rPr>
            <b/>
            <sz val="9"/>
            <color indexed="81"/>
            <rFont val="Tahoma"/>
            <family val="2"/>
            <charset val="204"/>
          </rPr>
          <t>Это сумма для уплаты членских взносов с участка на начало текущего месяца с 1.06.2018</t>
        </r>
      </text>
    </comment>
    <comment ref="Q174" authorId="0" shapeId="0">
      <text>
        <r>
          <rPr>
            <b/>
            <sz val="9"/>
            <color indexed="81"/>
            <rFont val="Tahoma"/>
            <family val="2"/>
            <charset val="204"/>
          </rPr>
          <t>Эту сумму членских взносов за прошедшие месяцы текущего отчетного года нужно сдать с одного участка</t>
        </r>
      </text>
    </comment>
  </commentList>
</comments>
</file>

<file path=xl/sharedStrings.xml><?xml version="1.0" encoding="utf-8"?>
<sst xmlns="http://schemas.openxmlformats.org/spreadsheetml/2006/main" count="1462" uniqueCount="652">
  <si>
    <t>Ф И О</t>
  </si>
  <si>
    <t>Дорога</t>
  </si>
  <si>
    <t>Откатн. ворота</t>
  </si>
  <si>
    <t>Чирков Юрий Викторович</t>
  </si>
  <si>
    <t>Максин Олег Владимирович</t>
  </si>
  <si>
    <t>Шишов Владимир Александрович</t>
  </si>
  <si>
    <t>Шарапов Дмитрий Павлович</t>
  </si>
  <si>
    <t>Чайкина Ираида Ивановна</t>
  </si>
  <si>
    <t>Татоян Алексей Рубенович</t>
  </si>
  <si>
    <t>Ульев Алексей Николаевич</t>
  </si>
  <si>
    <t>Пантелеева Людмила Николаевна</t>
  </si>
  <si>
    <t>Дементьев Олег Сергеевич</t>
  </si>
  <si>
    <t>Мухетдинова Зуфянун Анваровна</t>
  </si>
  <si>
    <t>Потаповская Анна Геннадьевна</t>
  </si>
  <si>
    <t>Гончаров Михаил Алексеевич</t>
  </si>
  <si>
    <t>Досаева Гузял Гаяровна</t>
  </si>
  <si>
    <t>Липа Тамара Никитична</t>
  </si>
  <si>
    <t>Афонин Александр Павлович</t>
  </si>
  <si>
    <t>Зиновьев Андрей Борисович</t>
  </si>
  <si>
    <t>Романова Наталья Николаевна</t>
  </si>
  <si>
    <t>Мязина Ольга Станиславовна</t>
  </si>
  <si>
    <t>Сергеечева Елена Юрьевна</t>
  </si>
  <si>
    <t>Бучина Мария Александровна</t>
  </si>
  <si>
    <t>Серебрякова Галина Николаевна</t>
  </si>
  <si>
    <t>Бычков Александр Эдуардович</t>
  </si>
  <si>
    <t>Ванус Виктория Валерьевна</t>
  </si>
  <si>
    <t>Горбинская Татьяна Анатольевна</t>
  </si>
  <si>
    <t>Сейфуллина Алсу Харисовна</t>
  </si>
  <si>
    <t>Владычкин Николай Александрович</t>
  </si>
  <si>
    <t>Мелихов Илья Владимирович</t>
  </si>
  <si>
    <t>Шурыгина Елена Юрьевна</t>
  </si>
  <si>
    <t>Мечев Сергей Евгеньевич</t>
  </si>
  <si>
    <t>Овчаров Александр Львович</t>
  </si>
  <si>
    <t>Чурина Наталья Ивановна</t>
  </si>
  <si>
    <t>Дремлюга Наталия Ивановна</t>
  </si>
  <si>
    <t>Павлова Елена Алексеевна</t>
  </si>
  <si>
    <t>Матюхин Вадим Станиславович</t>
  </si>
  <si>
    <t>Караев Джемали Ильич</t>
  </si>
  <si>
    <t>Куршев Дмитрий Дмитриевич</t>
  </si>
  <si>
    <t>Булгаков Максим Борисович</t>
  </si>
  <si>
    <t>Фошина Надежда Николаевна</t>
  </si>
  <si>
    <t>Кононов Иван Алексеевич</t>
  </si>
  <si>
    <t>Стефанский  Станислав Маркович</t>
  </si>
  <si>
    <t>Круне Максим Владимирович</t>
  </si>
  <si>
    <t>Карева Елена Алексеевна</t>
  </si>
  <si>
    <t>Колесавина Ирина Геннадьевна</t>
  </si>
  <si>
    <t>Сигунов Иван Сергеевич</t>
  </si>
  <si>
    <t>Сигунова Татьяна Леонидовна</t>
  </si>
  <si>
    <t>Плаксина Марина Львовна</t>
  </si>
  <si>
    <t>Морозова Елена Аркадьевна</t>
  </si>
  <si>
    <t>Тюрин А.П.,Букова О.А.</t>
  </si>
  <si>
    <t>Ярулин Рустам Буллатович</t>
  </si>
  <si>
    <t>Силаева Ольга Борисовна</t>
  </si>
  <si>
    <t>Самохвалова Екатерина Игоревна</t>
  </si>
  <si>
    <t>Ильин Михаил Дмитриевич</t>
  </si>
  <si>
    <t>Бабурина Людмила Анатольевна</t>
  </si>
  <si>
    <t>Вуколова Елена Сергеевна</t>
  </si>
  <si>
    <t>Лавин Борис Тэвэльевич</t>
  </si>
  <si>
    <t>Стрельченко Дмитрий Александрович</t>
  </si>
  <si>
    <t>Потапов Виктор Васильевич</t>
  </si>
  <si>
    <t>Захарова Наталья Валерьевна</t>
  </si>
  <si>
    <t>Ходорожкова Ирина Юрьевна</t>
  </si>
  <si>
    <t>Маргунова Ирина Вячеславовна</t>
  </si>
  <si>
    <t>Миненко Жанна Алексеевна</t>
  </si>
  <si>
    <t>Бабин Иван Александрович</t>
  </si>
  <si>
    <t>Николаев Денис Игоревич</t>
  </si>
  <si>
    <t>Крылов Александр Владимирович</t>
  </si>
  <si>
    <t>Николаева Елена Анатольевна</t>
  </si>
  <si>
    <t>Нестеров Валерий Павлович</t>
  </si>
  <si>
    <t>Иванов Иван Александрович</t>
  </si>
  <si>
    <t>Маталыгин Андрей Владимирович</t>
  </si>
  <si>
    <t>Пашина Инна Витальевна</t>
  </si>
  <si>
    <t>Макарова Ирина Борисовна</t>
  </si>
  <si>
    <t>Шарапов Виктор Иванович</t>
  </si>
  <si>
    <t>Тютько Юрий Романович</t>
  </si>
  <si>
    <t>Сорокина Нина Васильевна</t>
  </si>
  <si>
    <t>Нигматова Эльвира Аскатовна</t>
  </si>
  <si>
    <t>Петрушина Людмила Валерьевна</t>
  </si>
  <si>
    <t>Якшин Сергей Анатольевич</t>
  </si>
  <si>
    <t>Куприн Александр Николаевич</t>
  </si>
  <si>
    <t>Алиев Рустам Пенжиевич</t>
  </si>
  <si>
    <t>Каськова Маргарита Сергеевна</t>
  </si>
  <si>
    <t>Алференкова Мария Никитична</t>
  </si>
  <si>
    <t>Олейникова Татьяна Юрьевна</t>
  </si>
  <si>
    <t>Копылова Надежда Александровна</t>
  </si>
  <si>
    <t>Володькина Ольга Андреевна</t>
  </si>
  <si>
    <t>Минаева Елена Вячеславна</t>
  </si>
  <si>
    <t>Взносы в СНТ</t>
  </si>
  <si>
    <t>Период</t>
  </si>
  <si>
    <t>Сумма взносов с 1 участка</t>
  </si>
  <si>
    <t>Вступительные</t>
  </si>
  <si>
    <t>2012г.</t>
  </si>
  <si>
    <t>Членские взносы</t>
  </si>
  <si>
    <t>12-13г.</t>
  </si>
  <si>
    <t>13-14г.</t>
  </si>
  <si>
    <t>14-15г.</t>
  </si>
  <si>
    <t>доп.14г.</t>
  </si>
  <si>
    <t>15-16г.</t>
  </si>
  <si>
    <t>16-17г.</t>
  </si>
  <si>
    <t>17-18г.</t>
  </si>
  <si>
    <t>18-19г.</t>
  </si>
  <si>
    <t>19-20г.</t>
  </si>
  <si>
    <t>Итого членские взносы</t>
  </si>
  <si>
    <t>Целевые взносы</t>
  </si>
  <si>
    <t>Межевание</t>
  </si>
  <si>
    <t>Забор</t>
  </si>
  <si>
    <t>Сторожка</t>
  </si>
  <si>
    <t>Доп. Целевые</t>
  </si>
  <si>
    <t>Электрофикация СНТ</t>
  </si>
  <si>
    <t>Откатные ворота</t>
  </si>
  <si>
    <t>Карташов Алексей Николаевич</t>
  </si>
  <si>
    <t>Дгебуадзе Хатуна Дугласовна</t>
  </si>
  <si>
    <t>Феклистова Наталья Валентиновна</t>
  </si>
  <si>
    <t>Чл.вз. 20-21</t>
  </si>
  <si>
    <t>Чл.вз.  19-20г.</t>
  </si>
  <si>
    <t>Чл.вз.  18-19г.</t>
  </si>
  <si>
    <t>Исаева Екатерина Александровна</t>
  </si>
  <si>
    <t>Дубов Андрей Юрьевич</t>
  </si>
  <si>
    <t>Вольнов Валерий Михайлович</t>
  </si>
  <si>
    <t>Шаповал  Карина Константиновна</t>
  </si>
  <si>
    <t>20-21</t>
  </si>
  <si>
    <t>Жданов Дмитрий Анатольевич</t>
  </si>
  <si>
    <t>Пулатов Бехзод Хакимович</t>
  </si>
  <si>
    <t>Смелкин Василий Иванович</t>
  </si>
  <si>
    <t>Куприна Ольга Викторовна</t>
  </si>
  <si>
    <t>Жаков Роман Михайлович</t>
  </si>
  <si>
    <t>Смирнова Татьяна Сергеевна</t>
  </si>
  <si>
    <t>Мажора Евгения Сергеевна</t>
  </si>
  <si>
    <t>Пугачевский Александр Николаевич</t>
  </si>
  <si>
    <t>Акифьева Ольга Александровна</t>
  </si>
  <si>
    <t>Стрюкова Екатерина Сергеевна</t>
  </si>
  <si>
    <t>Булатов Сергей</t>
  </si>
  <si>
    <t>Попова Марина Николаевна</t>
  </si>
  <si>
    <t>Братышева Наталья Викторовна</t>
  </si>
  <si>
    <t>Чл.вз. 21-22</t>
  </si>
  <si>
    <t>Таранов Александр Сергеевич</t>
  </si>
  <si>
    <t>Барабанов Глеб Михайлович</t>
  </si>
  <si>
    <t xml:space="preserve">Воробьева Алина Павловна </t>
  </si>
  <si>
    <t>21-22</t>
  </si>
  <si>
    <t>Баранова Светлана Юрьевна</t>
  </si>
  <si>
    <t xml:space="preserve">Максина Елена Николаевна </t>
  </si>
  <si>
    <t>ремонт дорог до СНТ</t>
  </si>
  <si>
    <t>Чл.вз. 22-23</t>
  </si>
  <si>
    <t>ремонт дорог СНТ</t>
  </si>
  <si>
    <t xml:space="preserve">Курдыбан Екатерина Дмитриевна </t>
  </si>
  <si>
    <t>Романенко Валерия Валерьевна</t>
  </si>
  <si>
    <t>22-23</t>
  </si>
  <si>
    <t xml:space="preserve">Целевые взнос на ноутбук и принтер </t>
  </si>
  <si>
    <t>Печников Алексей Анатольевич</t>
  </si>
  <si>
    <t xml:space="preserve">Астахова Елена Геннадьевна </t>
  </si>
  <si>
    <t xml:space="preserve">Протасов Иван Вениаминович </t>
  </si>
  <si>
    <t xml:space="preserve">Лобова Ольга Аркадьевна </t>
  </si>
  <si>
    <t>Шишов Александр Иванович</t>
  </si>
  <si>
    <t>Уч-к</t>
  </si>
  <si>
    <t>с 01.06 по 31.05</t>
  </si>
  <si>
    <t>Гавриилов Роман Никонорович</t>
  </si>
  <si>
    <t>Ремонт дороги от шоссе</t>
  </si>
  <si>
    <t>Итого целевые взносы с 2015</t>
  </si>
  <si>
    <t>Итого целевые взносы с  2012</t>
  </si>
  <si>
    <t>Сумма взноса, руб</t>
  </si>
  <si>
    <t>Долг всего СНТ:</t>
  </si>
  <si>
    <t>По плану со всех:</t>
  </si>
  <si>
    <t>Ремонт дорог  внутри СНТ</t>
  </si>
  <si>
    <t>Целевой взнос на ноутбук и принтер</t>
  </si>
  <si>
    <t>Шарапова Валентина Александровна</t>
  </si>
  <si>
    <t>Коровкина Людмила  Евгеньевна</t>
  </si>
  <si>
    <t>Аразова Кабират Мафрудиновна</t>
  </si>
  <si>
    <t>Оплата взносов</t>
  </si>
  <si>
    <t>Платежи в 2023 году</t>
  </si>
  <si>
    <t>Январь</t>
  </si>
  <si>
    <t>Участок</t>
  </si>
  <si>
    <t>Сумма, руб</t>
  </si>
  <si>
    <t>Дата</t>
  </si>
  <si>
    <t>Итого:</t>
  </si>
  <si>
    <t>Собрано  всего c 1.06.2018</t>
  </si>
  <si>
    <t>Долг по целевым до 01.06.2018</t>
  </si>
  <si>
    <t>Долг по членским до 01.06.2018</t>
  </si>
  <si>
    <t>Февраль</t>
  </si>
  <si>
    <t>Госпошлина, руб</t>
  </si>
  <si>
    <t>собрано с 1.06.2018</t>
  </si>
  <si>
    <t>долг до 01.06.2018</t>
  </si>
  <si>
    <t>собрано с 1.06.2012</t>
  </si>
  <si>
    <t>Март</t>
  </si>
  <si>
    <t>90, 91, 92</t>
  </si>
  <si>
    <t>29.03.2023</t>
  </si>
  <si>
    <t>31.03.2023</t>
  </si>
  <si>
    <t>членские с 01.06.2018</t>
  </si>
  <si>
    <t>целевые с 01.06.2018</t>
  </si>
  <si>
    <t>Апрель</t>
  </si>
  <si>
    <t>21.04.2023</t>
  </si>
  <si>
    <t>11.04.2023</t>
  </si>
  <si>
    <t>04.04.2023</t>
  </si>
  <si>
    <t>23.04.2023</t>
  </si>
  <si>
    <t>09.04.2023</t>
  </si>
  <si>
    <t>12.04.2023</t>
  </si>
  <si>
    <t>07.04.2023</t>
  </si>
  <si>
    <t>28.04.2023</t>
  </si>
  <si>
    <t>13.04.2023</t>
  </si>
  <si>
    <t>24.04.2023</t>
  </si>
  <si>
    <t>19.04.2023</t>
  </si>
  <si>
    <t>10.04.2023</t>
  </si>
  <si>
    <t>05.04.2023</t>
  </si>
  <si>
    <t>26.04.2023</t>
  </si>
  <si>
    <t>30.04.2023</t>
  </si>
  <si>
    <t>25.04.2023</t>
  </si>
  <si>
    <t>На 01.06.2018</t>
  </si>
  <si>
    <t>собрано со всех</t>
  </si>
  <si>
    <t>с учетом погашения</t>
  </si>
  <si>
    <t>Карабатов Алексей Валерьевич</t>
  </si>
  <si>
    <t>Чл.вз. 23-24</t>
  </si>
  <si>
    <t>22.05.2023</t>
  </si>
  <si>
    <t>02.05.2023</t>
  </si>
  <si>
    <t>25.05.2023</t>
  </si>
  <si>
    <t>15.05.2023</t>
  </si>
  <si>
    <t>17.05.2023</t>
  </si>
  <si>
    <t>27.05.2023</t>
  </si>
  <si>
    <t>06.05.2023</t>
  </si>
  <si>
    <t>11.05.2023</t>
  </si>
  <si>
    <t>23.05.2023</t>
  </si>
  <si>
    <t>91,92,93</t>
  </si>
  <si>
    <t>28.05.2023</t>
  </si>
  <si>
    <t>24.05.2023</t>
  </si>
  <si>
    <t>30.05.2023</t>
  </si>
  <si>
    <t>31.05.2023</t>
  </si>
  <si>
    <t>124,125</t>
  </si>
  <si>
    <t>29.05.2023</t>
  </si>
  <si>
    <t>136,137,138</t>
  </si>
  <si>
    <t>03.05.2023</t>
  </si>
  <si>
    <t>01.05.2023</t>
  </si>
  <si>
    <t>Май</t>
  </si>
  <si>
    <t>Добровольные взносы</t>
  </si>
  <si>
    <t>Задолженность по взносам</t>
  </si>
  <si>
    <t>Июнь</t>
  </si>
  <si>
    <t>Смелкин Иван Васильевич</t>
  </si>
  <si>
    <t>Панкова Инга Юрьевна</t>
  </si>
  <si>
    <t>Июль</t>
  </si>
  <si>
    <t>136,137, 138</t>
  </si>
  <si>
    <t>69, 70</t>
  </si>
  <si>
    <t>Лыкова Наиля Ибрагимовна</t>
  </si>
  <si>
    <t>Долги до 01.06.2018 на дату 01.08</t>
  </si>
  <si>
    <t>Август</t>
  </si>
  <si>
    <t>Федулов Артем Валерьевич</t>
  </si>
  <si>
    <t>членских (Ч)</t>
  </si>
  <si>
    <t>целевых (Ц)</t>
  </si>
  <si>
    <t>целевым (Ц)</t>
  </si>
  <si>
    <t>членским (Ч)</t>
  </si>
  <si>
    <t>итого (Ч+Ц)</t>
  </si>
  <si>
    <t>долгов на начало текущего месяца</t>
  </si>
  <si>
    <t>Сентябрь</t>
  </si>
  <si>
    <t>98,99</t>
  </si>
  <si>
    <t>23-24</t>
  </si>
  <si>
    <t>Дом для правления/сторожа</t>
  </si>
  <si>
    <t>Всего по взносам с участка</t>
  </si>
  <si>
    <t>ц.взнос на домик</t>
  </si>
  <si>
    <t>Тютько Ольга Евгеньевна</t>
  </si>
  <si>
    <t>синий фон - переплата</t>
  </si>
  <si>
    <t>розовый фон - имеется долг</t>
  </si>
  <si>
    <t>Цветовое выделение</t>
  </si>
  <si>
    <t xml:space="preserve">%   </t>
  </si>
  <si>
    <t>Октябрь</t>
  </si>
  <si>
    <t>12.10.2023</t>
  </si>
  <si>
    <t>Период (июнь-май)</t>
  </si>
  <si>
    <t>15.11.2023</t>
  </si>
  <si>
    <t>16.11.2023</t>
  </si>
  <si>
    <t>22.11.2023</t>
  </si>
  <si>
    <t>14.11.2023</t>
  </si>
  <si>
    <t>23.11.2023</t>
  </si>
  <si>
    <t>21.11.2023</t>
  </si>
  <si>
    <t>01.11.2023</t>
  </si>
  <si>
    <t>30.11.2023</t>
  </si>
  <si>
    <t>17.11.2023</t>
  </si>
  <si>
    <t>20.11.2023</t>
  </si>
  <si>
    <t>25.11.2023</t>
  </si>
  <si>
    <t>06.11.2023</t>
  </si>
  <si>
    <t>29.11.2023</t>
  </si>
  <si>
    <t>27.11.2023</t>
  </si>
  <si>
    <t>102а</t>
  </si>
  <si>
    <t>157,158,159</t>
  </si>
  <si>
    <t>90,91,92</t>
  </si>
  <si>
    <t>Ноябрь</t>
  </si>
  <si>
    <t>Кондрашов Александр Денисович</t>
  </si>
  <si>
    <t>Списанные долги до 2018</t>
  </si>
  <si>
    <t>Списанные долги после 2018</t>
  </si>
  <si>
    <t>Госпошлина</t>
  </si>
  <si>
    <t xml:space="preserve">Взносы </t>
  </si>
  <si>
    <t>засчитано как взносы</t>
  </si>
  <si>
    <t>Декабрь</t>
  </si>
  <si>
    <t>08.12.2023</t>
  </si>
  <si>
    <t>07.12.2023</t>
  </si>
  <si>
    <t>27.12.2023</t>
  </si>
  <si>
    <t>20.12.2023</t>
  </si>
  <si>
    <t>18.12.2023</t>
  </si>
  <si>
    <t>13.12.2023</t>
  </si>
  <si>
    <t>11.12.2023</t>
  </si>
  <si>
    <t>28.12.2023</t>
  </si>
  <si>
    <t>14.12.2023</t>
  </si>
  <si>
    <t>29.12.2023</t>
  </si>
  <si>
    <t>09.12.2023</t>
  </si>
  <si>
    <t>26.12.2023</t>
  </si>
  <si>
    <t>05.12.2023</t>
  </si>
  <si>
    <t>25.12.2023</t>
  </si>
  <si>
    <t>31.12.2023</t>
  </si>
  <si>
    <t>04.12.2023</t>
  </si>
  <si>
    <t>21.12.2023</t>
  </si>
  <si>
    <t>01.12.2023</t>
  </si>
  <si>
    <t>10.12.2023</t>
  </si>
  <si>
    <t>12.12.2023</t>
  </si>
  <si>
    <t>06.12.2023</t>
  </si>
  <si>
    <t>17.12.2023</t>
  </si>
  <si>
    <t>Влючая госпошлину</t>
  </si>
  <si>
    <t>Включая затраты на юриста</t>
  </si>
  <si>
    <t>Платежи в 2024 году</t>
  </si>
  <si>
    <t>&lt;---списанные долги</t>
  </si>
  <si>
    <t>Судебн. издержки</t>
  </si>
  <si>
    <t>20.01.2024</t>
  </si>
  <si>
    <t>09.01.2024</t>
  </si>
  <si>
    <t>02.01.2024</t>
  </si>
  <si>
    <t>17.01.2024</t>
  </si>
  <si>
    <t>06.01.2024</t>
  </si>
  <si>
    <t>26.01.2024</t>
  </si>
  <si>
    <t>30.01.2024</t>
  </si>
  <si>
    <t>05.01.2024</t>
  </si>
  <si>
    <t>08.01.2024</t>
  </si>
  <si>
    <t>07.01.2024</t>
  </si>
  <si>
    <t>Пеня</t>
  </si>
  <si>
    <t>90-92</t>
  </si>
  <si>
    <t>98-99</t>
  </si>
  <si>
    <t>24.02.2024</t>
  </si>
  <si>
    <t>08.02.2024</t>
  </si>
  <si>
    <t>12.02.2024</t>
  </si>
  <si>
    <t>25.02.2024</t>
  </si>
  <si>
    <t>27.02.2024</t>
  </si>
  <si>
    <t>15.02.2024</t>
  </si>
  <si>
    <t>19.02.2024</t>
  </si>
  <si>
    <t>01.02.2024</t>
  </si>
  <si>
    <t>05.02.2024</t>
  </si>
  <si>
    <t>09.02.2024</t>
  </si>
  <si>
    <t>10.02.2024</t>
  </si>
  <si>
    <t>13.02.2024</t>
  </si>
  <si>
    <t>29.02.2024</t>
  </si>
  <si>
    <t>11.02.2024</t>
  </si>
  <si>
    <t>02.02.2024</t>
  </si>
  <si>
    <t>14.02.2024</t>
  </si>
  <si>
    <t>16.02.2024</t>
  </si>
  <si>
    <t>20.02.2024</t>
  </si>
  <si>
    <t>Артамонова Татьяна Алексеевна</t>
  </si>
  <si>
    <t>с выплатами по суду</t>
  </si>
  <si>
    <t>21.03.2024</t>
  </si>
  <si>
    <t>14.03.2024</t>
  </si>
  <si>
    <t>05.03.2024</t>
  </si>
  <si>
    <t>12.03.2024</t>
  </si>
  <si>
    <t>13.03.2024</t>
  </si>
  <si>
    <t>19.03.2024</t>
  </si>
  <si>
    <t>06.03.2024</t>
  </si>
  <si>
    <t>22.03.2024</t>
  </si>
  <si>
    <t>15.03.2024</t>
  </si>
  <si>
    <t>11.03.2024</t>
  </si>
  <si>
    <t>23.03.2024</t>
  </si>
  <si>
    <t>04.03.2024</t>
  </si>
  <si>
    <t>25.03.2024</t>
  </si>
  <si>
    <t>02.03.2024</t>
  </si>
  <si>
    <t>до конца отч.года</t>
  </si>
  <si>
    <t>без фона - полная выплата (нет долга)</t>
  </si>
  <si>
    <t>22.04.2024</t>
  </si>
  <si>
    <t>26.04.2024</t>
  </si>
  <si>
    <t>16.04.2024</t>
  </si>
  <si>
    <t>04.04.2024</t>
  </si>
  <si>
    <t>23.04.2024</t>
  </si>
  <si>
    <t>05.04.2024</t>
  </si>
  <si>
    <t>06.04.2024</t>
  </si>
  <si>
    <t>15.04.2024</t>
  </si>
  <si>
    <t>01.04.2024</t>
  </si>
  <si>
    <t>11.04.2024</t>
  </si>
  <si>
    <t>08.04.2024</t>
  </si>
  <si>
    <t>24.04.2024</t>
  </si>
  <si>
    <t>12.04.2024</t>
  </si>
  <si>
    <t>27.04.2024</t>
  </si>
  <si>
    <t>17.04.2024</t>
  </si>
  <si>
    <t>07.04.2024</t>
  </si>
  <si>
    <t>02.04.2024</t>
  </si>
  <si>
    <t>09.04.2024</t>
  </si>
  <si>
    <t>18.04.2024</t>
  </si>
  <si>
    <t>27.05.2024</t>
  </si>
  <si>
    <t>31.05.2024</t>
  </si>
  <si>
    <t>24.05.2024</t>
  </si>
  <si>
    <t>30.05.2024</t>
  </si>
  <si>
    <t>95-96</t>
  </si>
  <si>
    <t>Чл.вз. 24-25</t>
  </si>
  <si>
    <t>24-25</t>
  </si>
  <si>
    <t>Слезин Дмитрий</t>
  </si>
  <si>
    <t>28.06.2024</t>
  </si>
  <si>
    <t>15.06.2024</t>
  </si>
  <si>
    <t>14.06.2024</t>
  </si>
  <si>
    <t>10.06.2024</t>
  </si>
  <si>
    <t>13.06.2024</t>
  </si>
  <si>
    <t>17.06.2024</t>
  </si>
  <si>
    <t>24.06.2024</t>
  </si>
  <si>
    <t>07.06.2024</t>
  </si>
  <si>
    <t>21.06.2024</t>
  </si>
  <si>
    <t>03.06.2024</t>
  </si>
  <si>
    <t>08.06.2024</t>
  </si>
  <si>
    <t>18.06.2024</t>
  </si>
  <si>
    <t>23.06.2024</t>
  </si>
  <si>
    <t>06.06.2024</t>
  </si>
  <si>
    <t>04.06.2024</t>
  </si>
  <si>
    <t>136-138</t>
  </si>
  <si>
    <t>За ремонт ворот</t>
  </si>
  <si>
    <r>
      <rPr>
        <sz val="8"/>
        <color theme="1"/>
        <rFont val="Tahoma"/>
        <family val="2"/>
        <charset val="204"/>
      </rPr>
      <t xml:space="preserve">Собрано всего, </t>
    </r>
    <r>
      <rPr>
        <b/>
        <sz val="8"/>
        <color theme="1"/>
        <rFont val="Tahoma"/>
        <family val="2"/>
        <charset val="204"/>
      </rPr>
      <t>руб</t>
    </r>
  </si>
  <si>
    <t>итого---&gt;</t>
  </si>
  <si>
    <t>Всего до посл.мес.</t>
  </si>
  <si>
    <t>22.07.2024</t>
  </si>
  <si>
    <t>27.07.2024</t>
  </si>
  <si>
    <t>31.07.2024</t>
  </si>
  <si>
    <t>25.07.2024</t>
  </si>
  <si>
    <t>30.07.2024</t>
  </si>
  <si>
    <t>26.07.2024</t>
  </si>
  <si>
    <t>за вычетом списанных долгов</t>
  </si>
  <si>
    <t>30.08.2024</t>
  </si>
  <si>
    <t>14.08.2024</t>
  </si>
  <si>
    <t>20.08.2024</t>
  </si>
  <si>
    <t>27.08.2024</t>
  </si>
  <si>
    <t>13.08.2024</t>
  </si>
  <si>
    <t>21.08.2024</t>
  </si>
  <si>
    <t>09.08.2024</t>
  </si>
  <si>
    <t>10.08.2024</t>
  </si>
  <si>
    <t>23.08.2024</t>
  </si>
  <si>
    <t>19.08.2024</t>
  </si>
  <si>
    <t>02.08.2024</t>
  </si>
  <si>
    <t>05.08.2024</t>
  </si>
  <si>
    <t>26.08.2024</t>
  </si>
  <si>
    <t>15.08.2024</t>
  </si>
  <si>
    <t>06.08.2024</t>
  </si>
  <si>
    <t>08.08.2024</t>
  </si>
  <si>
    <t>07.08.2024</t>
  </si>
  <si>
    <t>102Б</t>
  </si>
  <si>
    <t>Семенов Дмитрий Сергеевич</t>
  </si>
  <si>
    <t>Кулагин Сергей Анатольевич</t>
  </si>
  <si>
    <t>10.09.2024</t>
  </si>
  <si>
    <t>06.09.2024</t>
  </si>
  <si>
    <t>20.09.2024</t>
  </si>
  <si>
    <t>13.09.2024</t>
  </si>
  <si>
    <t>28.09.2024</t>
  </si>
  <si>
    <t>02.09.2024</t>
  </si>
  <si>
    <t>18.09.2024</t>
  </si>
  <si>
    <t>05.09.2024</t>
  </si>
  <si>
    <t>22.09.2024</t>
  </si>
  <si>
    <t>30.09.2024</t>
  </si>
  <si>
    <t>01.09.2024</t>
  </si>
  <si>
    <t>09.09.2024</t>
  </si>
  <si>
    <t>12.09.2024</t>
  </si>
  <si>
    <t>17.09.2024</t>
  </si>
  <si>
    <t>16.09.2024</t>
  </si>
  <si>
    <t>08.09.2024</t>
  </si>
  <si>
    <t>07.09.2024</t>
  </si>
  <si>
    <t>11.09.2024</t>
  </si>
  <si>
    <t>04.09.2024</t>
  </si>
  <si>
    <t>13.11.2024</t>
  </si>
  <si>
    <t>20.11.2024</t>
  </si>
  <si>
    <t>25.11.2024</t>
  </si>
  <si>
    <t>29.11.2024</t>
  </si>
  <si>
    <t>12.11.2024</t>
  </si>
  <si>
    <t>23.11.2024</t>
  </si>
  <si>
    <t>10.11.2024</t>
  </si>
  <si>
    <t>04.11.2024</t>
  </si>
  <si>
    <t>05.11.2024</t>
  </si>
  <si>
    <t>02.11.2024</t>
  </si>
  <si>
    <t>15.11.2024</t>
  </si>
  <si>
    <t>09.11.2024</t>
  </si>
  <si>
    <t>03.11.2024</t>
  </si>
  <si>
    <t>26.11.2024</t>
  </si>
  <si>
    <t>01.11.2024</t>
  </si>
  <si>
    <t>08.11.2024</t>
  </si>
  <si>
    <t>12.12.2024</t>
  </si>
  <si>
    <t>13.12.2024</t>
  </si>
  <si>
    <t>01.12.2024</t>
  </si>
  <si>
    <t>03.12.2024</t>
  </si>
  <si>
    <t>05.12.2024</t>
  </si>
  <si>
    <t>09.12.2024</t>
  </si>
  <si>
    <t>02.12.2024</t>
  </si>
  <si>
    <t>06.12.2024</t>
  </si>
  <si>
    <t>Иутина Ксения Владимировна</t>
  </si>
  <si>
    <t>17.12.2024</t>
  </si>
  <si>
    <t>19.12.2024</t>
  </si>
  <si>
    <t>22.12.2024</t>
  </si>
  <si>
    <t>27.12.2024</t>
  </si>
  <si>
    <t>26.12.2024</t>
  </si>
  <si>
    <t>25.12.2024</t>
  </si>
  <si>
    <t>28.12.2024</t>
  </si>
  <si>
    <t>23.12.2024</t>
  </si>
  <si>
    <t>20.02.2025</t>
  </si>
  <si>
    <t>12.02.2025</t>
  </si>
  <si>
    <t>16.02.2025</t>
  </si>
  <si>
    <t>06.02.2025</t>
  </si>
  <si>
    <t>08.02.2025</t>
  </si>
  <si>
    <t>14.02.2025</t>
  </si>
  <si>
    <t>13.02.2025</t>
  </si>
  <si>
    <t>17.02.2025</t>
  </si>
  <si>
    <t>19.02.2025</t>
  </si>
  <si>
    <t>05.02.2025</t>
  </si>
  <si>
    <t>18.02.2025</t>
  </si>
  <si>
    <t>09.02.2025</t>
  </si>
  <si>
    <t>01.02.2025</t>
  </si>
  <si>
    <t>18.03.2025</t>
  </si>
  <si>
    <t>20.03.2025</t>
  </si>
  <si>
    <t>03.03.2025</t>
  </si>
  <si>
    <t>12.03.2025</t>
  </si>
  <si>
    <t>26.03.2025</t>
  </si>
  <si>
    <t>10.03.2025</t>
  </si>
  <si>
    <t>14.03.2025</t>
  </si>
  <si>
    <t>07.03.2025</t>
  </si>
  <si>
    <t>01.03.2025</t>
  </si>
  <si>
    <t>11.03.2025</t>
  </si>
  <si>
    <t>25.03.2025</t>
  </si>
  <si>
    <t>04.03.2025</t>
  </si>
  <si>
    <t>02.03.2025</t>
  </si>
  <si>
    <t>16.03.2025</t>
  </si>
  <si>
    <t>04.04.2025</t>
  </si>
  <si>
    <t>26.04.2025</t>
  </si>
  <si>
    <t>05.04.2025</t>
  </si>
  <si>
    <t>11.04.2025</t>
  </si>
  <si>
    <t>02.04.2025</t>
  </si>
  <si>
    <t>03.04.2025</t>
  </si>
  <si>
    <t>01.04.2025</t>
  </si>
  <si>
    <t>16.04.2025</t>
  </si>
  <si>
    <t>08.04.2025</t>
  </si>
  <si>
    <t>24.04.2025</t>
  </si>
  <si>
    <t>12.04.2025</t>
  </si>
  <si>
    <t>29.04.2025</t>
  </si>
  <si>
    <t>28.04.2025</t>
  </si>
  <si>
    <t>30.04.2025</t>
  </si>
  <si>
    <t>02.05.2025</t>
  </si>
  <si>
    <t>03.05.2025</t>
  </si>
  <si>
    <t>05.05.2025</t>
  </si>
  <si>
    <t>06.05.2025</t>
  </si>
  <si>
    <t>07.05.2025</t>
  </si>
  <si>
    <t>10.05.2025</t>
  </si>
  <si>
    <t>12.05.2025</t>
  </si>
  <si>
    <t>14.05.2025</t>
  </si>
  <si>
    <t>14.05.2026</t>
  </si>
  <si>
    <t>14.05.2027</t>
  </si>
  <si>
    <t>15.05.2025</t>
  </si>
  <si>
    <t>18.05.2025</t>
  </si>
  <si>
    <t>21.05.2025</t>
  </si>
  <si>
    <t>22.05.2025</t>
  </si>
  <si>
    <t>27.05.2025</t>
  </si>
  <si>
    <t>30.05.2025</t>
  </si>
  <si>
    <t>Чл.вз. 25-26</t>
  </si>
  <si>
    <t>Вовк Мария Николаевна</t>
  </si>
  <si>
    <t>102 А</t>
  </si>
  <si>
    <t>102 Б</t>
  </si>
  <si>
    <t>Павлова Мария Михайловна</t>
  </si>
  <si>
    <t>Ханюков Алексей Михайлович</t>
  </si>
  <si>
    <t>Минаева Елена Вячеславовна</t>
  </si>
  <si>
    <t>Шпак Александр Николаевич</t>
  </si>
  <si>
    <t xml:space="preserve"> </t>
  </si>
  <si>
    <t>Абдижалилов Аъзамхон Асатиллаевич</t>
  </si>
  <si>
    <t>Житкова Ирина Витальевна</t>
  </si>
  <si>
    <t>Левочкина Ольга Ивановна</t>
  </si>
  <si>
    <t>102А</t>
  </si>
  <si>
    <t>25-26</t>
  </si>
  <si>
    <t>30.10.2025</t>
  </si>
  <si>
    <t>16.10.2025</t>
  </si>
  <si>
    <t>08.10.2025</t>
  </si>
  <si>
    <t>24.10.2025</t>
  </si>
  <si>
    <t>20.10.2025</t>
  </si>
  <si>
    <t>04.10.2025</t>
  </si>
  <si>
    <t>05.10.2025</t>
  </si>
  <si>
    <t>22.10.2025</t>
  </si>
  <si>
    <t>01.10.2025</t>
  </si>
  <si>
    <t>12.10.2025</t>
  </si>
  <si>
    <t>18.10.2025</t>
  </si>
  <si>
    <t>26.10.2025</t>
  </si>
  <si>
    <t>14.10.2025</t>
  </si>
  <si>
    <t>10.10.2025</t>
  </si>
  <si>
    <t>09.10.2025</t>
  </si>
  <si>
    <t>06.10.2025</t>
  </si>
  <si>
    <t>03.10.2025</t>
  </si>
  <si>
    <t>14.11.2025</t>
  </si>
  <si>
    <t>07.11.2025</t>
  </si>
  <si>
    <t>24.11.2025</t>
  </si>
  <si>
    <t>05.11.2025</t>
  </si>
  <si>
    <t>21.11.2025</t>
  </si>
  <si>
    <t>06.11.2025</t>
  </si>
  <si>
    <t>03.11.2025</t>
  </si>
  <si>
    <t>11.11.2025</t>
  </si>
  <si>
    <t>01.11.2025</t>
  </si>
  <si>
    <t>13.11.2025</t>
  </si>
  <si>
    <t>08.11.2025</t>
  </si>
  <si>
    <t>23.11.2025</t>
  </si>
  <si>
    <t>12.11.2025</t>
  </si>
  <si>
    <t>27.11.2025</t>
  </si>
  <si>
    <t>10.11.2025</t>
  </si>
  <si>
    <t>29.11.2025</t>
  </si>
  <si>
    <t>04.12.2025</t>
  </si>
  <si>
    <t>09.12.2025</t>
  </si>
  <si>
    <t>01.12.2025</t>
  </si>
  <si>
    <t>24.12.2025</t>
  </si>
  <si>
    <t>03.12.2025</t>
  </si>
  <si>
    <t>02.12.2025</t>
  </si>
  <si>
    <t>08.12.2025</t>
  </si>
  <si>
    <t>29.12.2025</t>
  </si>
  <si>
    <t>22.12.2025</t>
  </si>
  <si>
    <t>05.12.2025</t>
  </si>
  <si>
    <t>27.12.2025</t>
  </si>
  <si>
    <t>20.12.2025</t>
  </si>
  <si>
    <t>26.12.2025</t>
  </si>
  <si>
    <t>10.12.2025</t>
  </si>
  <si>
    <t>30.12.2025</t>
  </si>
  <si>
    <t>102 б</t>
  </si>
  <si>
    <t>юр.услуги</t>
  </si>
  <si>
    <t xml:space="preserve">&lt;---Покрытие затрат (госпошлина + юристы) </t>
  </si>
  <si>
    <t>23.04.2026</t>
  </si>
  <si>
    <t>14.04.2026</t>
  </si>
  <si>
    <t>06.04.2026</t>
  </si>
  <si>
    <t>03.04.2026</t>
  </si>
  <si>
    <t>28.04.2026</t>
  </si>
  <si>
    <t>24.04.2026</t>
  </si>
  <si>
    <t>02.04.2026</t>
  </si>
  <si>
    <t>05.04.2026</t>
  </si>
  <si>
    <t>20.04.2026</t>
  </si>
  <si>
    <t>22.04.2026</t>
  </si>
  <si>
    <t>26.04.2026</t>
  </si>
  <si>
    <t>13.04.2026</t>
  </si>
  <si>
    <t>115/116</t>
  </si>
  <si>
    <t>07.04.2026</t>
  </si>
  <si>
    <t>08.04.2026</t>
  </si>
  <si>
    <t>на 01.06.2026</t>
  </si>
  <si>
    <r>
      <t xml:space="preserve">собрано с 1.06.2012 по </t>
    </r>
    <r>
      <rPr>
        <sz val="10"/>
        <color rgb="FFFF0000"/>
        <rFont val="Tahoma"/>
        <family val="2"/>
        <charset val="204"/>
      </rPr>
      <t>31.04.2026</t>
    </r>
  </si>
  <si>
    <t>Сергеева Елена Вячеславовна</t>
  </si>
  <si>
    <t>Агишева Галия Ахтямовна</t>
  </si>
  <si>
    <t>собрано за май</t>
  </si>
  <si>
    <t>Оплаче-но в мае</t>
  </si>
  <si>
    <t>по 31.05.2026 г.</t>
  </si>
  <si>
    <t>04.05.2026</t>
  </si>
  <si>
    <t>21.05.2026</t>
  </si>
  <si>
    <t>22.05.2026</t>
  </si>
  <si>
    <t>20.05.2026</t>
  </si>
  <si>
    <t>19.05.2026</t>
  </si>
  <si>
    <t>05.05.2026</t>
  </si>
  <si>
    <t>25.05.2026</t>
  </si>
  <si>
    <t>23.05.2026</t>
  </si>
  <si>
    <t>15.05.2026</t>
  </si>
  <si>
    <t>17.05.2026</t>
  </si>
  <si>
    <t>27.05.2026</t>
  </si>
  <si>
    <t>29.05.2026</t>
  </si>
  <si>
    <t>28.05.2026</t>
  </si>
  <si>
    <t>31.05.2026</t>
  </si>
  <si>
    <t>06.05.2026</t>
  </si>
  <si>
    <t>26.05.2026</t>
  </si>
  <si>
    <t>12.05.2026</t>
  </si>
  <si>
    <t>02.05.2026</t>
  </si>
  <si>
    <t>13.05.2026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</si>
</sst>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.mm\.yyyy"/>
    <numFmt numFmtId="165" formatCode="#,##0;[Red]#,##0"/>
    <numFmt numFmtId="166" formatCode="0.0%"/>
    <numFmt numFmtId="167" formatCode="#,##0.00\ _₽"/>
  </numFmts>
  <fonts count="4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name val="Tahoma"/>
      <family val="2"/>
      <charset val="204"/>
    </font>
    <font>
      <b/>
      <sz val="10"/>
      <color theme="1"/>
      <name val="Arial"/>
      <family val="2"/>
      <charset val="204"/>
    </font>
    <font>
      <sz val="10"/>
      <color theme="4" tint="-0.499984740745262"/>
      <name val="Tahoma"/>
      <family val="2"/>
      <charset val="204"/>
    </font>
    <font>
      <b/>
      <sz val="10"/>
      <color theme="4" tint="-0.499984740745262"/>
      <name val="Tahoma"/>
      <family val="2"/>
      <charset val="204"/>
    </font>
    <font>
      <sz val="10"/>
      <color rgb="FFFF0000"/>
      <name val="Tahoma"/>
      <family val="2"/>
      <charset val="204"/>
    </font>
    <font>
      <b/>
      <sz val="10"/>
      <color rgb="FF00B050"/>
      <name val="Tahoma"/>
      <family val="2"/>
      <charset val="204"/>
    </font>
    <font>
      <b/>
      <sz val="10"/>
      <color rgb="FFFF0000"/>
      <name val="Tahoma"/>
      <family val="2"/>
      <charset val="204"/>
    </font>
    <font>
      <b/>
      <sz val="8"/>
      <color theme="1"/>
      <name val="Tahoma"/>
      <family val="2"/>
      <charset val="204"/>
    </font>
    <font>
      <b/>
      <sz val="8"/>
      <color rgb="FF00B050"/>
      <name val="Tahoma"/>
      <family val="2"/>
      <charset val="204"/>
    </font>
    <font>
      <b/>
      <sz val="8"/>
      <color rgb="FFFF0000"/>
      <name val="Tahoma"/>
      <family val="2"/>
      <charset val="204"/>
    </font>
    <font>
      <sz val="8"/>
      <color theme="1"/>
      <name val="Tahoma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name val="Tahoma"/>
      <family val="2"/>
      <charset val="204"/>
    </font>
    <font>
      <sz val="8"/>
      <color rgb="FFEDADAD"/>
      <name val="Tahoma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indexed="8"/>
      <name val="Tahoma"/>
      <family val="2"/>
      <charset val="204"/>
    </font>
    <font>
      <sz val="8"/>
      <color rgb="FFFF0000"/>
      <name val="Tahoma"/>
      <family val="2"/>
      <charset val="204"/>
    </font>
    <font>
      <sz val="8"/>
      <name val="Tahoma"/>
      <family val="2"/>
      <charset val="204"/>
    </font>
    <font>
      <i/>
      <sz val="8"/>
      <color theme="1"/>
      <name val="Tahoma"/>
      <family val="2"/>
      <charset val="204"/>
    </font>
    <font>
      <sz val="8"/>
      <name val="Calibri"/>
      <family val="2"/>
      <charset val="204"/>
      <scheme val="minor"/>
    </font>
    <font>
      <sz val="10"/>
      <color rgb="FF000000"/>
      <name val="Calibri"/>
      <family val="2"/>
    </font>
    <font>
      <sz val="10"/>
      <color rgb="FF000000"/>
      <name val="Times New Roman"/>
      <family val="2"/>
    </font>
    <font>
      <sz val="11"/>
      <color rgb="FF00000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rgb="FFFFC7CE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double">
        <color indexed="64"/>
      </right>
      <top style="thin">
        <color auto="1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mediumDashed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Dashed">
        <color indexed="64"/>
      </right>
      <top style="double">
        <color indexed="64"/>
      </top>
      <bottom/>
      <diagonal/>
    </border>
    <border>
      <left style="double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/>
      <bottom style="double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double">
        <color auto="1"/>
      </bottom>
      <diagonal/>
    </border>
    <border>
      <left style="mediumDashed">
        <color indexed="64"/>
      </left>
      <right/>
      <top style="mediumDashed">
        <color indexed="64"/>
      </top>
      <bottom style="double">
        <color auto="1"/>
      </bottom>
      <diagonal/>
    </border>
    <border>
      <left style="double">
        <color indexed="64"/>
      </left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/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530">
    <xf numFmtId="0" fontId="0" fillId="0" borderId="0" xfId="0"/>
    <xf numFmtId="0" fontId="3" fillId="3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right"/>
    </xf>
    <xf numFmtId="0" fontId="1" fillId="5" borderId="1" xfId="0" applyFont="1" applyFill="1" applyBorder="1" applyAlignment="1">
      <alignment horizontal="right"/>
    </xf>
    <xf numFmtId="49" fontId="0" fillId="3" borderId="1" xfId="0" applyNumberFormat="1" applyFill="1" applyBorder="1"/>
    <xf numFmtId="49" fontId="0" fillId="5" borderId="1" xfId="0" applyNumberFormat="1" applyFill="1" applyBorder="1"/>
    <xf numFmtId="0" fontId="0" fillId="5" borderId="0" xfId="0" applyFill="1" applyBorder="1" applyAlignment="1">
      <alignment horizontal="center"/>
    </xf>
    <xf numFmtId="0" fontId="0" fillId="5" borderId="1" xfId="0" applyNumberFormat="1" applyFill="1" applyBorder="1"/>
    <xf numFmtId="0" fontId="3" fillId="2" borderId="3" xfId="0" applyFont="1" applyFill="1" applyBorder="1" applyAlignment="1">
      <alignment horizontal="center"/>
    </xf>
    <xf numFmtId="49" fontId="1" fillId="2" borderId="3" xfId="0" applyNumberFormat="1" applyFont="1" applyFill="1" applyBorder="1"/>
    <xf numFmtId="0" fontId="3" fillId="2" borderId="3" xfId="0" applyFont="1" applyFill="1" applyBorder="1" applyAlignment="1">
      <alignment horizontal="right"/>
    </xf>
    <xf numFmtId="0" fontId="2" fillId="6" borderId="1" xfId="0" applyFont="1" applyFill="1" applyBorder="1" applyAlignment="1">
      <alignment horizontal="center" wrapText="1"/>
    </xf>
    <xf numFmtId="0" fontId="0" fillId="6" borderId="1" xfId="0" applyFill="1" applyBorder="1"/>
    <xf numFmtId="0" fontId="1" fillId="5" borderId="3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1" fillId="6" borderId="13" xfId="0" applyNumberFormat="1" applyFont="1" applyFill="1" applyBorder="1" applyAlignment="1">
      <alignment horizontal="right"/>
    </xf>
    <xf numFmtId="0" fontId="1" fillId="6" borderId="14" xfId="0" applyFont="1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1" fillId="6" borderId="9" xfId="0" applyNumberFormat="1" applyFont="1" applyFill="1" applyBorder="1" applyAlignment="1">
      <alignment horizontal="right"/>
    </xf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right"/>
    </xf>
    <xf numFmtId="0" fontId="0" fillId="8" borderId="0" xfId="0" applyFill="1" applyBorder="1" applyAlignment="1">
      <alignment horizontal="center"/>
    </xf>
    <xf numFmtId="0" fontId="0" fillId="8" borderId="1" xfId="0" applyNumberFormat="1" applyFill="1" applyBorder="1"/>
    <xf numFmtId="0" fontId="1" fillId="8" borderId="1" xfId="0" applyFont="1" applyFill="1" applyBorder="1" applyAlignment="1">
      <alignment horizontal="right"/>
    </xf>
    <xf numFmtId="0" fontId="0" fillId="8" borderId="5" xfId="0" applyNumberFormat="1" applyFill="1" applyBorder="1"/>
    <xf numFmtId="0" fontId="0" fillId="8" borderId="4" xfId="0" applyNumberFormat="1" applyFill="1" applyBorder="1"/>
    <xf numFmtId="0" fontId="0" fillId="8" borderId="0" xfId="0" applyFill="1" applyAlignment="1">
      <alignment horizontal="center"/>
    </xf>
    <xf numFmtId="0" fontId="5" fillId="0" borderId="0" xfId="0" applyFont="1" applyFill="1"/>
    <xf numFmtId="0" fontId="5" fillId="0" borderId="0" xfId="0" applyFont="1" applyFill="1" applyBorder="1"/>
    <xf numFmtId="1" fontId="5" fillId="0" borderId="0" xfId="0" applyNumberFormat="1" applyFont="1" applyFill="1"/>
    <xf numFmtId="49" fontId="0" fillId="3" borderId="1" xfId="0" applyNumberFormat="1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9" fillId="0" borderId="4" xfId="0" applyFont="1" applyBorder="1"/>
    <xf numFmtId="164" fontId="14" fillId="11" borderId="28" xfId="0" applyNumberFormat="1" applyFont="1" applyFill="1" applyBorder="1" applyAlignment="1" applyProtection="1">
      <alignment horizontal="center" vertical="center" wrapText="1"/>
    </xf>
    <xf numFmtId="1" fontId="4" fillId="0" borderId="0" xfId="0" applyNumberFormat="1" applyFont="1" applyFill="1"/>
    <xf numFmtId="0" fontId="5" fillId="0" borderId="0" xfId="0" applyFont="1" applyFill="1" applyAlignment="1">
      <alignment horizontal="right"/>
    </xf>
    <xf numFmtId="2" fontId="4" fillId="0" borderId="0" xfId="0" applyNumberFormat="1" applyFont="1" applyFill="1" applyAlignment="1">
      <alignment horizontal="right"/>
    </xf>
    <xf numFmtId="3" fontId="14" fillId="11" borderId="1" xfId="0" applyNumberFormat="1" applyFont="1" applyFill="1" applyBorder="1" applyAlignment="1" applyProtection="1">
      <alignment horizontal="right" vertical="center" wrapText="1"/>
    </xf>
    <xf numFmtId="3" fontId="15" fillId="0" borderId="1" xfId="0" applyNumberFormat="1" applyFont="1" applyFill="1" applyBorder="1" applyAlignment="1" applyProtection="1">
      <alignment horizontal="right" vertical="center" wrapText="1"/>
    </xf>
    <xf numFmtId="0" fontId="0" fillId="0" borderId="0" xfId="0" applyBorder="1"/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10" borderId="1" xfId="0" applyFont="1" applyFill="1" applyBorder="1" applyAlignment="1">
      <alignment horizontal="center" vertical="center"/>
    </xf>
    <xf numFmtId="0" fontId="13" fillId="10" borderId="19" xfId="0" applyFont="1" applyFill="1" applyBorder="1" applyAlignment="1">
      <alignment horizontal="center" vertical="center"/>
    </xf>
    <xf numFmtId="164" fontId="14" fillId="11" borderId="37" xfId="0" applyNumberFormat="1" applyFont="1" applyFill="1" applyBorder="1" applyAlignment="1" applyProtection="1">
      <alignment horizontal="center" vertical="center" wrapText="1"/>
    </xf>
    <xf numFmtId="164" fontId="14" fillId="11" borderId="38" xfId="0" applyNumberFormat="1" applyFont="1" applyFill="1" applyBorder="1" applyAlignment="1" applyProtection="1">
      <alignment horizontal="center" vertical="center" wrapText="1"/>
    </xf>
    <xf numFmtId="164" fontId="14" fillId="11" borderId="39" xfId="0" applyNumberFormat="1" applyFont="1" applyFill="1" applyBorder="1" applyAlignment="1" applyProtection="1">
      <alignment horizontal="center" vertical="center" wrapText="1"/>
    </xf>
    <xf numFmtId="0" fontId="0" fillId="0" borderId="36" xfId="0" applyBorder="1"/>
    <xf numFmtId="3" fontId="14" fillId="11" borderId="40" xfId="0" applyNumberFormat="1" applyFont="1" applyFill="1" applyBorder="1" applyAlignment="1" applyProtection="1">
      <alignment horizontal="right" vertical="center" wrapText="1"/>
    </xf>
    <xf numFmtId="0" fontId="13" fillId="10" borderId="3" xfId="0" applyFont="1" applyFill="1" applyBorder="1" applyAlignment="1">
      <alignment horizontal="center" vertical="center"/>
    </xf>
    <xf numFmtId="3" fontId="14" fillId="11" borderId="3" xfId="0" applyNumberFormat="1" applyFont="1" applyFill="1" applyBorder="1" applyAlignment="1" applyProtection="1">
      <alignment horizontal="right" vertical="center" wrapText="1"/>
    </xf>
    <xf numFmtId="0" fontId="13" fillId="10" borderId="10" xfId="0" applyFont="1" applyFill="1" applyBorder="1" applyAlignment="1">
      <alignment horizontal="center" vertical="center"/>
    </xf>
    <xf numFmtId="164" fontId="14" fillId="11" borderId="42" xfId="0" applyNumberFormat="1" applyFont="1" applyFill="1" applyBorder="1" applyAlignment="1" applyProtection="1">
      <alignment horizontal="center" vertical="center" wrapText="1"/>
    </xf>
    <xf numFmtId="0" fontId="11" fillId="10" borderId="43" xfId="0" applyFont="1" applyFill="1" applyBorder="1" applyAlignment="1">
      <alignment horizontal="center" vertical="center"/>
    </xf>
    <xf numFmtId="0" fontId="11" fillId="6" borderId="45" xfId="0" applyNumberFormat="1" applyFont="1" applyFill="1" applyBorder="1" applyAlignment="1" applyProtection="1">
      <alignment horizontal="center" vertical="center" wrapText="1"/>
      <protection locked="0"/>
    </xf>
    <xf numFmtId="0" fontId="11" fillId="6" borderId="44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6" xfId="0" applyFont="1" applyBorder="1"/>
    <xf numFmtId="164" fontId="14" fillId="11" borderId="47" xfId="0" applyNumberFormat="1" applyFont="1" applyFill="1" applyBorder="1" applyAlignment="1" applyProtection="1">
      <alignment horizontal="center" vertical="center" wrapText="1"/>
    </xf>
    <xf numFmtId="0" fontId="13" fillId="10" borderId="7" xfId="0" applyFont="1" applyFill="1" applyBorder="1" applyAlignment="1">
      <alignment horizontal="center" vertical="center"/>
    </xf>
    <xf numFmtId="3" fontId="14" fillId="11" borderId="0" xfId="0" applyNumberFormat="1" applyFont="1" applyFill="1" applyBorder="1" applyAlignment="1" applyProtection="1">
      <alignment horizontal="right" vertical="center" wrapText="1"/>
    </xf>
    <xf numFmtId="164" fontId="14" fillId="11" borderId="0" xfId="0" applyNumberFormat="1" applyFont="1" applyFill="1" applyBorder="1" applyAlignment="1" applyProtection="1">
      <alignment horizontal="center" vertical="center" wrapText="1"/>
    </xf>
    <xf numFmtId="3" fontId="14" fillId="11" borderId="4" xfId="0" applyNumberFormat="1" applyFont="1" applyFill="1" applyBorder="1" applyAlignment="1" applyProtection="1">
      <alignment horizontal="right" vertical="center" wrapText="1"/>
    </xf>
    <xf numFmtId="164" fontId="14" fillId="11" borderId="48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/>
    <xf numFmtId="164" fontId="14" fillId="11" borderId="49" xfId="0" applyNumberFormat="1" applyFont="1" applyFill="1" applyBorder="1" applyAlignment="1" applyProtection="1">
      <alignment horizontal="center" vertical="center" wrapText="1"/>
    </xf>
    <xf numFmtId="3" fontId="15" fillId="0" borderId="40" xfId="0" applyNumberFormat="1" applyFont="1" applyFill="1" applyBorder="1" applyAlignment="1" applyProtection="1">
      <alignment horizontal="right" vertical="center" wrapText="1"/>
    </xf>
    <xf numFmtId="0" fontId="13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/>
    </xf>
    <xf numFmtId="0" fontId="5" fillId="0" borderId="0" xfId="0" applyFont="1" applyAlignment="1">
      <alignment horizontal="right"/>
    </xf>
    <xf numFmtId="0" fontId="5" fillId="10" borderId="0" xfId="0" applyFont="1" applyFill="1"/>
    <xf numFmtId="1" fontId="5" fillId="10" borderId="0" xfId="0" applyNumberFormat="1" applyFont="1" applyFill="1"/>
    <xf numFmtId="2" fontId="5" fillId="0" borderId="0" xfId="0" applyNumberFormat="1" applyFont="1"/>
    <xf numFmtId="0" fontId="18" fillId="0" borderId="0" xfId="0" applyFont="1" applyAlignment="1">
      <alignment horizontal="right"/>
    </xf>
    <xf numFmtId="1" fontId="4" fillId="0" borderId="0" xfId="0" applyNumberFormat="1" applyFont="1"/>
    <xf numFmtId="0" fontId="19" fillId="0" borderId="0" xfId="0" applyFont="1"/>
    <xf numFmtId="2" fontId="4" fillId="0" borderId="0" xfId="0" applyNumberFormat="1" applyFont="1" applyBorder="1"/>
    <xf numFmtId="0" fontId="21" fillId="0" borderId="0" xfId="0" applyFont="1"/>
    <xf numFmtId="0" fontId="22" fillId="0" borderId="0" xfId="0" applyFont="1"/>
    <xf numFmtId="4" fontId="15" fillId="0" borderId="1" xfId="0" applyNumberFormat="1" applyFont="1" applyFill="1" applyBorder="1" applyAlignment="1" applyProtection="1">
      <alignment horizontal="right" vertical="center" wrapText="1"/>
    </xf>
    <xf numFmtId="0" fontId="11" fillId="6" borderId="53" xfId="0" applyNumberFormat="1" applyFont="1" applyFill="1" applyBorder="1" applyAlignment="1" applyProtection="1">
      <alignment horizontal="center" vertical="center" wrapText="1"/>
      <protection locked="0"/>
    </xf>
    <xf numFmtId="0" fontId="11" fillId="10" borderId="1" xfId="0" applyFont="1" applyFill="1" applyBorder="1" applyAlignment="1">
      <alignment horizontal="center" vertical="center"/>
    </xf>
    <xf numFmtId="0" fontId="11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7" fillId="10" borderId="10" xfId="0" applyFont="1" applyFill="1" applyBorder="1" applyAlignment="1">
      <alignment horizontal="center" vertical="center"/>
    </xf>
    <xf numFmtId="164" fontId="14" fillId="11" borderId="54" xfId="0" applyNumberFormat="1" applyFont="1" applyFill="1" applyBorder="1" applyAlignment="1" applyProtection="1">
      <alignment horizontal="center" vertical="center" wrapText="1"/>
    </xf>
    <xf numFmtId="164" fontId="14" fillId="11" borderId="1" xfId="0" applyNumberFormat="1" applyFont="1" applyFill="1" applyBorder="1" applyAlignment="1" applyProtection="1">
      <alignment horizontal="center" vertical="center" wrapText="1"/>
    </xf>
    <xf numFmtId="0" fontId="17" fillId="1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5" xfId="0" applyBorder="1"/>
    <xf numFmtId="0" fontId="0" fillId="0" borderId="1" xfId="0" applyBorder="1"/>
    <xf numFmtId="0" fontId="13" fillId="0" borderId="5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2" fontId="22" fillId="0" borderId="0" xfId="0" applyNumberFormat="1" applyFont="1" applyBorder="1"/>
    <xf numFmtId="0" fontId="0" fillId="3" borderId="10" xfId="0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4" fontId="5" fillId="0" borderId="1" xfId="0" applyNumberFormat="1" applyFont="1" applyFill="1" applyBorder="1" applyAlignment="1">
      <alignment horizontal="left" vertical="center" wrapText="1"/>
    </xf>
    <xf numFmtId="14" fontId="16" fillId="0" borderId="1" xfId="0" applyNumberFormat="1" applyFont="1" applyFill="1" applyBorder="1" applyAlignment="1">
      <alignment horizontal="left" vertical="center" wrapText="1"/>
    </xf>
    <xf numFmtId="3" fontId="1" fillId="0" borderId="1" xfId="0" applyNumberFormat="1" applyFont="1" applyBorder="1"/>
    <xf numFmtId="0" fontId="8" fillId="0" borderId="0" xfId="0" applyFont="1" applyFill="1"/>
    <xf numFmtId="0" fontId="1" fillId="8" borderId="1" xfId="0" applyFont="1" applyFill="1" applyBorder="1" applyAlignment="1">
      <alignment horizontal="center"/>
    </xf>
    <xf numFmtId="0" fontId="13" fillId="0" borderId="0" xfId="0" applyFont="1" applyAlignment="1">
      <alignment horizontal="left" vertical="center"/>
    </xf>
    <xf numFmtId="3" fontId="17" fillId="0" borderId="3" xfId="0" applyNumberFormat="1" applyFont="1" applyBorder="1"/>
    <xf numFmtId="0" fontId="13" fillId="0" borderId="1" xfId="0" applyFont="1" applyBorder="1" applyAlignment="1">
      <alignment vertical="center"/>
    </xf>
    <xf numFmtId="14" fontId="13" fillId="0" borderId="1" xfId="0" applyNumberFormat="1" applyFont="1" applyBorder="1" applyAlignment="1">
      <alignment horizontal="left" vertical="center"/>
    </xf>
    <xf numFmtId="0" fontId="0" fillId="6" borderId="1" xfId="0" applyFill="1" applyBorder="1" applyAlignment="1">
      <alignment wrapText="1"/>
    </xf>
    <xf numFmtId="1" fontId="23" fillId="0" borderId="0" xfId="0" applyNumberFormat="1" applyFont="1"/>
    <xf numFmtId="2" fontId="23" fillId="0" borderId="0" xfId="0" applyNumberFormat="1" applyFont="1" applyFill="1" applyAlignment="1">
      <alignment horizontal="right"/>
    </xf>
    <xf numFmtId="1" fontId="23" fillId="0" borderId="0" xfId="0" applyNumberFormat="1" applyFont="1" applyFill="1"/>
    <xf numFmtId="2" fontId="23" fillId="0" borderId="17" xfId="0" applyNumberFormat="1" applyFont="1" applyBorder="1"/>
    <xf numFmtId="2" fontId="23" fillId="0" borderId="0" xfId="0" applyNumberFormat="1" applyFont="1"/>
    <xf numFmtId="2" fontId="24" fillId="0" borderId="0" xfId="0" applyNumberFormat="1" applyFont="1"/>
    <xf numFmtId="14" fontId="13" fillId="0" borderId="2" xfId="0" applyNumberFormat="1" applyFont="1" applyBorder="1" applyAlignment="1">
      <alignment horizontal="left" vertical="center"/>
    </xf>
    <xf numFmtId="0" fontId="0" fillId="10" borderId="1" xfId="0" applyFill="1" applyBorder="1" applyAlignment="1">
      <alignment horizontal="center"/>
    </xf>
    <xf numFmtId="0" fontId="13" fillId="10" borderId="1" xfId="0" applyFont="1" applyFill="1" applyBorder="1" applyAlignment="1">
      <alignment horizontal="center"/>
    </xf>
    <xf numFmtId="0" fontId="17" fillId="0" borderId="1" xfId="0" applyFont="1" applyBorder="1"/>
    <xf numFmtId="0" fontId="13" fillId="0" borderId="0" xfId="0" applyFont="1"/>
    <xf numFmtId="0" fontId="2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2" fontId="0" fillId="0" borderId="1" xfId="0" applyNumberFormat="1" applyBorder="1"/>
    <xf numFmtId="2" fontId="25" fillId="0" borderId="0" xfId="0" applyNumberFormat="1" applyFont="1"/>
    <xf numFmtId="2" fontId="23" fillId="10" borderId="0" xfId="0" applyNumberFormat="1" applyFont="1" applyFill="1" applyAlignment="1">
      <alignment horizontal="right"/>
    </xf>
    <xf numFmtId="2" fontId="23" fillId="10" borderId="0" xfId="0" applyNumberFormat="1" applyFont="1" applyFill="1" applyAlignment="1">
      <alignment horizontal="left"/>
    </xf>
    <xf numFmtId="0" fontId="12" fillId="6" borderId="44" xfId="0" applyNumberFormat="1" applyFont="1" applyFill="1" applyBorder="1" applyAlignment="1" applyProtection="1">
      <alignment horizontal="center" vertical="center" wrapText="1"/>
    </xf>
    <xf numFmtId="0" fontId="12" fillId="6" borderId="1" xfId="0" applyNumberFormat="1" applyFont="1" applyFill="1" applyBorder="1" applyAlignment="1" applyProtection="1">
      <alignment horizontal="center" vertical="center" wrapText="1"/>
    </xf>
    <xf numFmtId="0" fontId="12" fillId="6" borderId="4" xfId="0" applyNumberFormat="1" applyFont="1" applyFill="1" applyBorder="1" applyAlignment="1" applyProtection="1">
      <alignment horizontal="center" vertical="center" wrapText="1"/>
    </xf>
    <xf numFmtId="0" fontId="0" fillId="12" borderId="46" xfId="0" applyFill="1" applyBorder="1" applyAlignment="1">
      <alignment horizontal="center" vertical="center" wrapText="1"/>
    </xf>
    <xf numFmtId="0" fontId="0" fillId="12" borderId="36" xfId="0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3" xfId="0" applyBorder="1"/>
    <xf numFmtId="3" fontId="15" fillId="0" borderId="0" xfId="0" applyNumberFormat="1" applyFont="1" applyFill="1" applyBorder="1" applyAlignment="1" applyProtection="1">
      <alignment horizontal="right" vertical="center" wrapText="1"/>
    </xf>
    <xf numFmtId="2" fontId="0" fillId="0" borderId="0" xfId="0" applyNumberFormat="1" applyBorder="1"/>
    <xf numFmtId="164" fontId="14" fillId="0" borderId="0" xfId="0" applyNumberFormat="1" applyFont="1" applyFill="1" applyBorder="1" applyAlignment="1" applyProtection="1">
      <alignment horizontal="center" vertical="center" wrapText="1"/>
    </xf>
    <xf numFmtId="3" fontId="14" fillId="0" borderId="0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Border="1"/>
    <xf numFmtId="0" fontId="17" fillId="0" borderId="0" xfId="0" applyFont="1" applyFill="1" applyBorder="1" applyAlignment="1">
      <alignment horizontal="center" vertical="center"/>
    </xf>
    <xf numFmtId="164" fontId="15" fillId="0" borderId="0" xfId="0" applyNumberFormat="1" applyFont="1" applyFill="1" applyBorder="1" applyAlignment="1" applyProtection="1">
      <alignment horizontal="center" vertical="center" wrapText="1"/>
    </xf>
    <xf numFmtId="0" fontId="9" fillId="0" borderId="5" xfId="0" applyFont="1" applyBorder="1"/>
    <xf numFmtId="0" fontId="9" fillId="0" borderId="55" xfId="0" applyFont="1" applyBorder="1"/>
    <xf numFmtId="0" fontId="10" fillId="0" borderId="4" xfId="0" applyFont="1" applyBorder="1"/>
    <xf numFmtId="164" fontId="14" fillId="11" borderId="3" xfId="0" applyNumberFormat="1" applyFont="1" applyFill="1" applyBorder="1" applyAlignment="1" applyProtection="1">
      <alignment horizontal="center" vertical="center" wrapText="1"/>
    </xf>
    <xf numFmtId="0" fontId="11" fillId="10" borderId="57" xfId="0" applyFont="1" applyFill="1" applyBorder="1" applyAlignment="1">
      <alignment horizontal="center" vertical="center"/>
    </xf>
    <xf numFmtId="0" fontId="11" fillId="6" borderId="57" xfId="0" applyNumberFormat="1" applyFont="1" applyFill="1" applyBorder="1" applyAlignment="1" applyProtection="1">
      <alignment horizontal="center" vertical="center" wrapText="1"/>
      <protection locked="0"/>
    </xf>
    <xf numFmtId="0" fontId="12" fillId="6" borderId="57" xfId="0" applyNumberFormat="1" applyFont="1" applyFill="1" applyBorder="1" applyAlignment="1" applyProtection="1">
      <alignment horizontal="center" vertical="center" wrapText="1"/>
    </xf>
    <xf numFmtId="0" fontId="0" fillId="12" borderId="57" xfId="0" applyFill="1" applyBorder="1" applyAlignment="1">
      <alignment horizontal="center" vertical="center" wrapText="1"/>
    </xf>
    <xf numFmtId="0" fontId="1" fillId="0" borderId="0" xfId="0" applyFont="1" applyFill="1" applyBorder="1"/>
    <xf numFmtId="2" fontId="1" fillId="0" borderId="0" xfId="0" applyNumberFormat="1" applyFont="1" applyFill="1" applyBorder="1"/>
    <xf numFmtId="0" fontId="11" fillId="10" borderId="4" xfId="0" applyFont="1" applyFill="1" applyBorder="1" applyAlignment="1">
      <alignment horizontal="center" vertical="center"/>
    </xf>
    <xf numFmtId="0" fontId="11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4" xfId="0" applyFill="1" applyBorder="1" applyAlignment="1">
      <alignment horizontal="center" vertical="center" wrapText="1"/>
    </xf>
    <xf numFmtId="0" fontId="0" fillId="0" borderId="1" xfId="0" applyFill="1" applyBorder="1"/>
    <xf numFmtId="0" fontId="5" fillId="10" borderId="1" xfId="0" applyFont="1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Border="1"/>
    <xf numFmtId="0" fontId="1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2" fillId="6" borderId="5" xfId="0" applyNumberFormat="1" applyFont="1" applyFill="1" applyBorder="1" applyAlignment="1" applyProtection="1">
      <alignment horizontal="center" vertical="center" wrapText="1"/>
    </xf>
    <xf numFmtId="0" fontId="0" fillId="0" borderId="2" xfId="0" applyFont="1" applyBorder="1"/>
    <xf numFmtId="0" fontId="0" fillId="0" borderId="2" xfId="0" applyFont="1" applyFill="1" applyBorder="1"/>
    <xf numFmtId="0" fontId="0" fillId="12" borderId="1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 wrapText="1"/>
    </xf>
    <xf numFmtId="2" fontId="23" fillId="0" borderId="1" xfId="0" applyNumberFormat="1" applyFont="1" applyFill="1" applyBorder="1"/>
    <xf numFmtId="0" fontId="26" fillId="0" borderId="1" xfId="0" applyFont="1" applyFill="1" applyBorder="1"/>
    <xf numFmtId="0" fontId="27" fillId="0" borderId="1" xfId="0" applyFont="1" applyBorder="1"/>
    <xf numFmtId="1" fontId="23" fillId="0" borderId="1" xfId="0" applyNumberFormat="1" applyFont="1" applyFill="1" applyBorder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 wrapText="1"/>
    </xf>
    <xf numFmtId="1" fontId="28" fillId="0" borderId="0" xfId="0" applyNumberFormat="1" applyFont="1" applyAlignment="1">
      <alignment horizontal="center" wrapText="1"/>
    </xf>
    <xf numFmtId="0" fontId="28" fillId="0" borderId="0" xfId="0" applyFont="1" applyAlignment="1">
      <alignment horizontal="center"/>
    </xf>
    <xf numFmtId="0" fontId="26" fillId="0" borderId="0" xfId="0" applyFont="1" applyFill="1" applyBorder="1"/>
    <xf numFmtId="0" fontId="27" fillId="0" borderId="0" xfId="0" applyFont="1"/>
    <xf numFmtId="0" fontId="26" fillId="0" borderId="0" xfId="0" applyFont="1" applyFill="1"/>
    <xf numFmtId="0" fontId="26" fillId="0" borderId="0" xfId="0" applyFont="1"/>
    <xf numFmtId="0" fontId="23" fillId="7" borderId="25" xfId="0" applyFont="1" applyFill="1" applyBorder="1" applyAlignment="1">
      <alignment horizontal="right"/>
    </xf>
    <xf numFmtId="0" fontId="23" fillId="7" borderId="22" xfId="0" applyFont="1" applyFill="1" applyBorder="1" applyAlignment="1">
      <alignment horizontal="center"/>
    </xf>
    <xf numFmtId="0" fontId="29" fillId="12" borderId="33" xfId="0" applyFont="1" applyFill="1" applyBorder="1"/>
    <xf numFmtId="0" fontId="26" fillId="0" borderId="66" xfId="0" applyFont="1" applyBorder="1"/>
    <xf numFmtId="0" fontId="23" fillId="0" borderId="18" xfId="0" applyFont="1" applyFill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23" fillId="12" borderId="18" xfId="0" applyFont="1" applyFill="1" applyBorder="1" applyAlignment="1">
      <alignment horizontal="center" vertical="center" wrapText="1"/>
    </xf>
    <xf numFmtId="0" fontId="23" fillId="12" borderId="29" xfId="0" applyFont="1" applyFill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23" fillId="0" borderId="24" xfId="0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59" xfId="0" applyFont="1" applyFill="1" applyBorder="1" applyAlignment="1">
      <alignment horizontal="center" vertical="center" wrapText="1"/>
    </xf>
    <xf numFmtId="0" fontId="23" fillId="15" borderId="18" xfId="0" applyFont="1" applyFill="1" applyBorder="1" applyAlignment="1">
      <alignment horizontal="center" vertical="center" wrapText="1"/>
    </xf>
    <xf numFmtId="0" fontId="23" fillId="15" borderId="63" xfId="0" applyFont="1" applyFill="1" applyBorder="1" applyAlignment="1">
      <alignment horizontal="center" vertical="center" wrapText="1"/>
    </xf>
    <xf numFmtId="0" fontId="23" fillId="14" borderId="18" xfId="0" applyFont="1" applyFill="1" applyBorder="1" applyAlignment="1">
      <alignment horizontal="center" vertical="center" wrapText="1"/>
    </xf>
    <xf numFmtId="0" fontId="23" fillId="14" borderId="63" xfId="0" applyFont="1" applyFill="1" applyBorder="1" applyAlignment="1">
      <alignment horizontal="center" vertical="center" wrapText="1"/>
    </xf>
    <xf numFmtId="0" fontId="23" fillId="0" borderId="0" xfId="0" applyFont="1" applyFill="1" applyBorder="1"/>
    <xf numFmtId="0" fontId="23" fillId="0" borderId="0" xfId="0" applyFont="1" applyBorder="1"/>
    <xf numFmtId="0" fontId="23" fillId="0" borderId="15" xfId="0" applyFont="1" applyBorder="1"/>
    <xf numFmtId="0" fontId="23" fillId="6" borderId="33" xfId="0" applyFont="1" applyFill="1" applyBorder="1" applyAlignment="1">
      <alignment horizontal="center" vertical="center" wrapText="1"/>
    </xf>
    <xf numFmtId="0" fontId="26" fillId="6" borderId="33" xfId="0" applyFont="1" applyFill="1" applyBorder="1" applyAlignment="1">
      <alignment horizontal="center" vertical="center" wrapText="1"/>
    </xf>
    <xf numFmtId="1" fontId="23" fillId="6" borderId="34" xfId="0" applyNumberFormat="1" applyFont="1" applyFill="1" applyBorder="1" applyAlignment="1">
      <alignment horizontal="center" vertical="center" wrapText="1"/>
    </xf>
    <xf numFmtId="2" fontId="23" fillId="6" borderId="34" xfId="0" applyNumberFormat="1" applyFont="1" applyFill="1" applyBorder="1" applyAlignment="1">
      <alignment horizontal="center" vertical="center" wrapText="1"/>
    </xf>
    <xf numFmtId="1" fontId="23" fillId="6" borderId="15" xfId="0" applyNumberFormat="1" applyFont="1" applyFill="1" applyBorder="1" applyAlignment="1">
      <alignment horizontal="center" vertical="center" wrapText="1"/>
    </xf>
    <xf numFmtId="1" fontId="23" fillId="6" borderId="23" xfId="0" applyNumberFormat="1" applyFont="1" applyFill="1" applyBorder="1" applyAlignment="1">
      <alignment horizontal="center" vertical="center" wrapText="1"/>
    </xf>
    <xf numFmtId="1" fontId="23" fillId="6" borderId="33" xfId="0" applyNumberFormat="1" applyFont="1" applyFill="1" applyBorder="1" applyAlignment="1">
      <alignment horizontal="center" vertical="center" wrapText="1"/>
    </xf>
    <xf numFmtId="1" fontId="23" fillId="6" borderId="35" xfId="0" applyNumberFormat="1" applyFont="1" applyFill="1" applyBorder="1" applyAlignment="1">
      <alignment horizontal="center" vertical="center" wrapText="1"/>
    </xf>
    <xf numFmtId="1" fontId="23" fillId="6" borderId="22" xfId="0" applyNumberFormat="1" applyFont="1" applyFill="1" applyBorder="1" applyAlignment="1">
      <alignment horizontal="center" vertical="center" wrapText="1"/>
    </xf>
    <xf numFmtId="1" fontId="23" fillId="0" borderId="60" xfId="0" applyNumberFormat="1" applyFont="1" applyFill="1" applyBorder="1" applyAlignment="1">
      <alignment horizontal="center" vertical="center" wrapText="1"/>
    </xf>
    <xf numFmtId="1" fontId="23" fillId="15" borderId="68" xfId="0" applyNumberFormat="1" applyFont="1" applyFill="1" applyBorder="1" applyAlignment="1">
      <alignment horizontal="center" vertical="center" wrapText="1"/>
    </xf>
    <xf numFmtId="0" fontId="27" fillId="15" borderId="67" xfId="0" applyFont="1" applyFill="1" applyBorder="1" applyAlignment="1">
      <alignment horizontal="center" vertical="center" wrapText="1"/>
    </xf>
    <xf numFmtId="0" fontId="30" fillId="14" borderId="68" xfId="0" applyFont="1" applyFill="1" applyBorder="1" applyAlignment="1">
      <alignment horizontal="center" vertical="center" wrapText="1"/>
    </xf>
    <xf numFmtId="0" fontId="27" fillId="14" borderId="67" xfId="0" applyFont="1" applyFill="1" applyBorder="1" applyAlignment="1">
      <alignment horizontal="center" vertical="center" wrapText="1"/>
    </xf>
    <xf numFmtId="1" fontId="23" fillId="0" borderId="58" xfId="0" applyNumberFormat="1" applyFont="1" applyFill="1" applyBorder="1" applyAlignment="1">
      <alignment horizontal="center" vertical="center" wrapText="1"/>
    </xf>
    <xf numFmtId="1" fontId="23" fillId="0" borderId="34" xfId="0" applyNumberFormat="1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/>
    </xf>
    <xf numFmtId="0" fontId="26" fillId="0" borderId="30" xfId="0" applyFont="1" applyBorder="1"/>
    <xf numFmtId="1" fontId="26" fillId="0" borderId="10" xfId="0" applyNumberFormat="1" applyFont="1" applyBorder="1"/>
    <xf numFmtId="1" fontId="26" fillId="0" borderId="30" xfId="0" applyNumberFormat="1" applyFont="1" applyFill="1" applyBorder="1"/>
    <xf numFmtId="2" fontId="26" fillId="0" borderId="10" xfId="0" applyNumberFormat="1" applyFont="1" applyBorder="1"/>
    <xf numFmtId="1" fontId="26" fillId="0" borderId="1" xfId="0" applyNumberFormat="1" applyFont="1" applyBorder="1"/>
    <xf numFmtId="1" fontId="26" fillId="0" borderId="55" xfId="0" applyNumberFormat="1" applyFont="1" applyBorder="1"/>
    <xf numFmtId="2" fontId="26" fillId="0" borderId="72" xfId="0" applyNumberFormat="1" applyFont="1" applyBorder="1"/>
    <xf numFmtId="1" fontId="26" fillId="0" borderId="30" xfId="0" applyNumberFormat="1" applyFont="1" applyBorder="1"/>
    <xf numFmtId="1" fontId="26" fillId="0" borderId="61" xfId="0" applyNumberFormat="1" applyFont="1" applyFill="1" applyBorder="1" applyAlignment="1">
      <alignment horizontal="center"/>
    </xf>
    <xf numFmtId="1" fontId="26" fillId="0" borderId="10" xfId="0" applyNumberFormat="1" applyFont="1" applyFill="1" applyBorder="1" applyAlignment="1">
      <alignment horizontal="center"/>
    </xf>
    <xf numFmtId="1" fontId="26" fillId="0" borderId="64" xfId="0" applyNumberFormat="1" applyFont="1" applyFill="1" applyBorder="1" applyAlignment="1">
      <alignment horizontal="center"/>
    </xf>
    <xf numFmtId="1" fontId="26" fillId="0" borderId="55" xfId="0" applyNumberFormat="1" applyFont="1" applyFill="1" applyBorder="1" applyAlignment="1">
      <alignment horizontal="center"/>
    </xf>
    <xf numFmtId="0" fontId="26" fillId="0" borderId="10" xfId="0" applyFont="1" applyBorder="1" applyAlignment="1">
      <alignment horizontal="center"/>
    </xf>
    <xf numFmtId="1" fontId="26" fillId="0" borderId="1" xfId="0" applyNumberFormat="1" applyFont="1" applyFill="1" applyBorder="1"/>
    <xf numFmtId="0" fontId="26" fillId="0" borderId="1" xfId="0" applyFont="1" applyBorder="1" applyAlignment="1">
      <alignment horizontal="center"/>
    </xf>
    <xf numFmtId="0" fontId="26" fillId="0" borderId="17" xfId="0" applyFont="1" applyFill="1" applyBorder="1"/>
    <xf numFmtId="1" fontId="32" fillId="0" borderId="10" xfId="0" applyNumberFormat="1" applyFont="1" applyBorder="1"/>
    <xf numFmtId="1" fontId="33" fillId="0" borderId="30" xfId="0" applyNumberFormat="1" applyFont="1" applyFill="1" applyBorder="1"/>
    <xf numFmtId="1" fontId="26" fillId="0" borderId="19" xfId="0" applyNumberFormat="1" applyFont="1" applyBorder="1"/>
    <xf numFmtId="1" fontId="26" fillId="0" borderId="2" xfId="0" applyNumberFormat="1" applyFont="1" applyFill="1" applyBorder="1"/>
    <xf numFmtId="0" fontId="26" fillId="0" borderId="2" xfId="0" applyFont="1" applyBorder="1"/>
    <xf numFmtId="1" fontId="26" fillId="0" borderId="2" xfId="0" applyNumberFormat="1" applyFont="1" applyBorder="1"/>
    <xf numFmtId="1" fontId="26" fillId="0" borderId="3" xfId="0" applyNumberFormat="1" applyFont="1" applyBorder="1"/>
    <xf numFmtId="1" fontId="26" fillId="0" borderId="62" xfId="0" applyNumberFormat="1" applyFont="1" applyFill="1" applyBorder="1" applyAlignment="1">
      <alignment horizontal="center"/>
    </xf>
    <xf numFmtId="0" fontId="26" fillId="0" borderId="19" xfId="0" applyFont="1" applyBorder="1" applyAlignment="1">
      <alignment horizontal="center"/>
    </xf>
    <xf numFmtId="0" fontId="26" fillId="0" borderId="17" xfId="0" applyFont="1" applyBorder="1"/>
    <xf numFmtId="2" fontId="26" fillId="0" borderId="1" xfId="0" applyNumberFormat="1" applyFont="1" applyBorder="1"/>
    <xf numFmtId="1" fontId="26" fillId="0" borderId="65" xfId="0" applyNumberFormat="1" applyFont="1" applyFill="1" applyBorder="1" applyAlignment="1">
      <alignment horizontal="center"/>
    </xf>
    <xf numFmtId="1" fontId="26" fillId="0" borderId="17" xfId="0" applyNumberFormat="1" applyFont="1" applyFill="1" applyBorder="1"/>
    <xf numFmtId="2" fontId="26" fillId="0" borderId="2" xfId="0" applyNumberFormat="1" applyFont="1" applyBorder="1"/>
    <xf numFmtId="2" fontId="26" fillId="0" borderId="3" xfId="0" applyNumberFormat="1" applyFont="1" applyBorder="1"/>
    <xf numFmtId="0" fontId="26" fillId="2" borderId="1" xfId="0" applyFont="1" applyFill="1" applyBorder="1" applyAlignment="1">
      <alignment horizontal="center"/>
    </xf>
    <xf numFmtId="0" fontId="26" fillId="2" borderId="17" xfId="0" applyFont="1" applyFill="1" applyBorder="1"/>
    <xf numFmtId="1" fontId="26" fillId="2" borderId="10" xfId="0" applyNumberFormat="1" applyFont="1" applyFill="1" applyBorder="1"/>
    <xf numFmtId="1" fontId="26" fillId="2" borderId="30" xfId="0" applyNumberFormat="1" applyFont="1" applyFill="1" applyBorder="1"/>
    <xf numFmtId="1" fontId="26" fillId="2" borderId="19" xfId="0" applyNumberFormat="1" applyFont="1" applyFill="1" applyBorder="1"/>
    <xf numFmtId="1" fontId="26" fillId="2" borderId="1" xfId="0" applyNumberFormat="1" applyFont="1" applyFill="1" applyBorder="1"/>
    <xf numFmtId="1" fontId="26" fillId="2" borderId="2" xfId="0" applyNumberFormat="1" applyFont="1" applyFill="1" applyBorder="1"/>
    <xf numFmtId="0" fontId="26" fillId="2" borderId="2" xfId="0" applyFont="1" applyFill="1" applyBorder="1"/>
    <xf numFmtId="1" fontId="26" fillId="2" borderId="3" xfId="0" applyNumberFormat="1" applyFont="1" applyFill="1" applyBorder="1"/>
    <xf numFmtId="1" fontId="26" fillId="2" borderId="62" xfId="0" applyNumberFormat="1" applyFont="1" applyFill="1" applyBorder="1" applyAlignment="1">
      <alignment horizontal="center"/>
    </xf>
    <xf numFmtId="1" fontId="26" fillId="2" borderId="10" xfId="0" applyNumberFormat="1" applyFont="1" applyFill="1" applyBorder="1" applyAlignment="1">
      <alignment horizontal="center"/>
    </xf>
    <xf numFmtId="1" fontId="26" fillId="2" borderId="64" xfId="0" applyNumberFormat="1" applyFont="1" applyFill="1" applyBorder="1" applyAlignment="1">
      <alignment horizontal="center"/>
    </xf>
    <xf numFmtId="0" fontId="26" fillId="2" borderId="19" xfId="0" applyFont="1" applyFill="1" applyBorder="1" applyAlignment="1">
      <alignment horizontal="center"/>
    </xf>
    <xf numFmtId="0" fontId="26" fillId="2" borderId="1" xfId="0" applyFont="1" applyFill="1" applyBorder="1"/>
    <xf numFmtId="0" fontId="26" fillId="2" borderId="0" xfId="0" applyFont="1" applyFill="1"/>
    <xf numFmtId="1" fontId="32" fillId="0" borderId="30" xfId="0" applyNumberFormat="1" applyFont="1" applyFill="1" applyBorder="1"/>
    <xf numFmtId="1" fontId="26" fillId="0" borderId="3" xfId="0" applyNumberFormat="1" applyFont="1" applyFill="1" applyBorder="1"/>
    <xf numFmtId="2" fontId="26" fillId="0" borderId="55" xfId="0" applyNumberFormat="1" applyFont="1" applyBorder="1"/>
    <xf numFmtId="2" fontId="26" fillId="2" borderId="2" xfId="0" applyNumberFormat="1" applyFont="1" applyFill="1" applyBorder="1"/>
    <xf numFmtId="1" fontId="26" fillId="2" borderId="55" xfId="0" applyNumberFormat="1" applyFont="1" applyFill="1" applyBorder="1"/>
    <xf numFmtId="1" fontId="26" fillId="0" borderId="55" xfId="0" applyNumberFormat="1" applyFont="1" applyFill="1" applyBorder="1"/>
    <xf numFmtId="1" fontId="26" fillId="0" borderId="10" xfId="0" applyNumberFormat="1" applyFont="1" applyFill="1" applyBorder="1"/>
    <xf numFmtId="1" fontId="26" fillId="0" borderId="19" xfId="0" applyNumberFormat="1" applyFont="1" applyFill="1" applyBorder="1"/>
    <xf numFmtId="0" fontId="26" fillId="0" borderId="7" xfId="0" applyFont="1" applyBorder="1" applyAlignment="1">
      <alignment horizontal="center"/>
    </xf>
    <xf numFmtId="0" fontId="26" fillId="0" borderId="1" xfId="0" applyFont="1" applyFill="1" applyBorder="1" applyAlignment="1">
      <alignment horizontal="center"/>
    </xf>
    <xf numFmtId="2" fontId="26" fillId="0" borderId="2" xfId="0" applyNumberFormat="1" applyFont="1" applyFill="1" applyBorder="1"/>
    <xf numFmtId="0" fontId="26" fillId="0" borderId="19" xfId="0" applyFont="1" applyFill="1" applyBorder="1" applyAlignment="1">
      <alignment horizontal="center"/>
    </xf>
    <xf numFmtId="1" fontId="26" fillId="2" borderId="17" xfId="0" applyNumberFormat="1" applyFont="1" applyFill="1" applyBorder="1"/>
    <xf numFmtId="0" fontId="33" fillId="0" borderId="17" xfId="0" applyFont="1" applyBorder="1"/>
    <xf numFmtId="2" fontId="26" fillId="2" borderId="1" xfId="0" applyNumberFormat="1" applyFont="1" applyFill="1" applyBorder="1"/>
    <xf numFmtId="1" fontId="26" fillId="2" borderId="69" xfId="0" applyNumberFormat="1" applyFont="1" applyFill="1" applyBorder="1" applyAlignment="1">
      <alignment horizontal="center"/>
    </xf>
    <xf numFmtId="1" fontId="26" fillId="2" borderId="70" xfId="0" applyNumberFormat="1" applyFont="1" applyFill="1" applyBorder="1" applyAlignment="1">
      <alignment horizontal="center"/>
    </xf>
    <xf numFmtId="1" fontId="26" fillId="2" borderId="71" xfId="0" applyNumberFormat="1" applyFont="1" applyFill="1" applyBorder="1" applyAlignment="1">
      <alignment horizontal="center"/>
    </xf>
    <xf numFmtId="0" fontId="23" fillId="0" borderId="1" xfId="0" applyFont="1" applyBorder="1" applyAlignment="1">
      <alignment horizontal="right" indent="1"/>
    </xf>
    <xf numFmtId="1" fontId="23" fillId="0" borderId="17" xfId="0" applyNumberFormat="1" applyFont="1" applyFill="1" applyBorder="1"/>
    <xf numFmtId="1" fontId="23" fillId="0" borderId="19" xfId="0" applyNumberFormat="1" applyFont="1" applyBorder="1"/>
    <xf numFmtId="1" fontId="23" fillId="0" borderId="1" xfId="0" applyNumberFormat="1" applyFont="1" applyBorder="1"/>
    <xf numFmtId="2" fontId="23" fillId="0" borderId="1" xfId="0" applyNumberFormat="1" applyFont="1" applyBorder="1"/>
    <xf numFmtId="1" fontId="23" fillId="0" borderId="2" xfId="0" applyNumberFormat="1" applyFont="1" applyBorder="1"/>
    <xf numFmtId="1" fontId="23" fillId="0" borderId="52" xfId="0" applyNumberFormat="1" applyFont="1" applyBorder="1"/>
    <xf numFmtId="2" fontId="23" fillId="0" borderId="27" xfId="0" applyNumberFormat="1" applyFont="1" applyBorder="1"/>
    <xf numFmtId="0" fontId="26" fillId="0" borderId="31" xfId="0" applyFont="1" applyBorder="1"/>
    <xf numFmtId="0" fontId="23" fillId="0" borderId="1" xfId="0" applyFont="1" applyFill="1" applyBorder="1" applyAlignment="1">
      <alignment horizontal="left" indent="1"/>
    </xf>
    <xf numFmtId="0" fontId="23" fillId="0" borderId="6" xfId="0" applyFont="1" applyBorder="1" applyAlignment="1">
      <alignment horizontal="left" indent="1"/>
    </xf>
    <xf numFmtId="0" fontId="23" fillId="0" borderId="50" xfId="0" applyFont="1" applyBorder="1" applyAlignment="1">
      <alignment horizontal="right"/>
    </xf>
    <xf numFmtId="1" fontId="23" fillId="0" borderId="56" xfId="0" applyNumberFormat="1" applyFont="1" applyFill="1" applyBorder="1"/>
    <xf numFmtId="166" fontId="23" fillId="0" borderId="1" xfId="0" applyNumberFormat="1" applyFont="1" applyBorder="1"/>
    <xf numFmtId="166" fontId="23" fillId="0" borderId="52" xfId="0" applyNumberFormat="1" applyFont="1" applyBorder="1"/>
    <xf numFmtId="166" fontId="23" fillId="0" borderId="27" xfId="0" applyNumberFormat="1" applyFont="1" applyBorder="1"/>
    <xf numFmtId="0" fontId="23" fillId="0" borderId="6" xfId="0" applyFont="1" applyFill="1" applyBorder="1" applyAlignment="1">
      <alignment horizontal="left" indent="1"/>
    </xf>
    <xf numFmtId="0" fontId="23" fillId="0" borderId="50" xfId="0" applyFont="1" applyFill="1" applyBorder="1" applyAlignment="1"/>
    <xf numFmtId="1" fontId="23" fillId="0" borderId="19" xfId="0" applyNumberFormat="1" applyFont="1" applyFill="1" applyBorder="1"/>
    <xf numFmtId="1" fontId="23" fillId="4" borderId="19" xfId="0" applyNumberFormat="1" applyFont="1" applyFill="1" applyBorder="1"/>
    <xf numFmtId="1" fontId="23" fillId="4" borderId="1" xfId="0" applyNumberFormat="1" applyFont="1" applyFill="1" applyBorder="1"/>
    <xf numFmtId="2" fontId="23" fillId="4" borderId="1" xfId="0" applyNumberFormat="1" applyFont="1" applyFill="1" applyBorder="1"/>
    <xf numFmtId="1" fontId="23" fillId="4" borderId="2" xfId="0" applyNumberFormat="1" applyFont="1" applyFill="1" applyBorder="1"/>
    <xf numFmtId="2" fontId="23" fillId="4" borderId="27" xfId="0" applyNumberFormat="1" applyFont="1" applyFill="1" applyBorder="1"/>
    <xf numFmtId="2" fontId="23" fillId="4" borderId="17" xfId="0" applyNumberFormat="1" applyFont="1" applyFill="1" applyBorder="1"/>
    <xf numFmtId="165" fontId="23" fillId="9" borderId="27" xfId="0" applyNumberFormat="1" applyFont="1" applyFill="1" applyBorder="1"/>
    <xf numFmtId="165" fontId="23" fillId="9" borderId="1" xfId="0" applyNumberFormat="1" applyFont="1" applyFill="1" applyBorder="1"/>
    <xf numFmtId="165" fontId="23" fillId="9" borderId="2" xfId="0" applyNumberFormat="1" applyFont="1" applyFill="1" applyBorder="1"/>
    <xf numFmtId="0" fontId="23" fillId="0" borderId="0" xfId="0" applyFont="1" applyBorder="1" applyAlignment="1">
      <alignment horizontal="left" indent="1"/>
    </xf>
    <xf numFmtId="0" fontId="23" fillId="0" borderId="51" xfId="0" applyFont="1" applyBorder="1" applyAlignment="1">
      <alignment horizontal="left"/>
    </xf>
    <xf numFmtId="1" fontId="23" fillId="0" borderId="2" xfId="0" applyNumberFormat="1" applyFont="1" applyFill="1" applyBorder="1"/>
    <xf numFmtId="1" fontId="23" fillId="0" borderId="1" xfId="0" applyNumberFormat="1" applyFont="1" applyFill="1" applyBorder="1" applyAlignment="1">
      <alignment horizontal="center"/>
    </xf>
    <xf numFmtId="1" fontId="23" fillId="0" borderId="27" xfId="0" applyNumberFormat="1" applyFont="1" applyFill="1" applyBorder="1"/>
    <xf numFmtId="1" fontId="23" fillId="0" borderId="32" xfId="0" applyNumberFormat="1" applyFont="1" applyFill="1" applyBorder="1"/>
    <xf numFmtId="1" fontId="23" fillId="0" borderId="0" xfId="0" applyNumberFormat="1" applyFont="1" applyFill="1" applyBorder="1"/>
    <xf numFmtId="1" fontId="26" fillId="0" borderId="0" xfId="0" applyNumberFormat="1" applyFont="1"/>
    <xf numFmtId="0" fontId="23" fillId="0" borderId="1" xfId="0" applyFont="1" applyBorder="1" applyAlignment="1">
      <alignment horizontal="left" indent="1"/>
    </xf>
    <xf numFmtId="0" fontId="23" fillId="6" borderId="0" xfId="0" applyFont="1" applyFill="1" applyBorder="1" applyAlignment="1">
      <alignment horizontal="left" indent="1"/>
    </xf>
    <xf numFmtId="0" fontId="26" fillId="6" borderId="51" xfId="0" applyFont="1" applyFill="1" applyBorder="1"/>
    <xf numFmtId="1" fontId="23" fillId="6" borderId="19" xfId="0" applyNumberFormat="1" applyFont="1" applyFill="1" applyBorder="1"/>
    <xf numFmtId="1" fontId="23" fillId="6" borderId="17" xfId="0" applyNumberFormat="1" applyFont="1" applyFill="1" applyBorder="1"/>
    <xf numFmtId="1" fontId="23" fillId="6" borderId="1" xfId="0" applyNumberFormat="1" applyFont="1" applyFill="1" applyBorder="1"/>
    <xf numFmtId="2" fontId="23" fillId="6" borderId="1" xfId="0" applyNumberFormat="1" applyFont="1" applyFill="1" applyBorder="1"/>
    <xf numFmtId="1" fontId="23" fillId="6" borderId="2" xfId="0" applyNumberFormat="1" applyFont="1" applyFill="1" applyBorder="1"/>
    <xf numFmtId="1" fontId="23" fillId="6" borderId="52" xfId="0" applyNumberFormat="1" applyFont="1" applyFill="1" applyBorder="1" applyAlignment="1">
      <alignment horizontal="center"/>
    </xf>
    <xf numFmtId="1" fontId="23" fillId="6" borderId="27" xfId="0" applyNumberFormat="1" applyFont="1" applyFill="1" applyBorder="1"/>
    <xf numFmtId="1" fontId="23" fillId="6" borderId="32" xfId="0" applyNumberFormat="1" applyFont="1" applyFill="1" applyBorder="1"/>
    <xf numFmtId="1" fontId="23" fillId="6" borderId="4" xfId="0" applyNumberFormat="1" applyFont="1" applyFill="1" applyBorder="1"/>
    <xf numFmtId="0" fontId="26" fillId="0" borderId="6" xfId="0" applyFont="1" applyBorder="1"/>
    <xf numFmtId="1" fontId="23" fillId="6" borderId="0" xfId="0" applyNumberFormat="1" applyFont="1" applyFill="1" applyAlignment="1">
      <alignment horizontal="center"/>
    </xf>
    <xf numFmtId="0" fontId="34" fillId="0" borderId="0" xfId="0" applyFont="1" applyBorder="1"/>
    <xf numFmtId="0" fontId="26" fillId="0" borderId="0" xfId="0" applyFont="1" applyBorder="1"/>
    <xf numFmtId="0" fontId="26" fillId="0" borderId="52" xfId="0" applyFont="1" applyBorder="1"/>
    <xf numFmtId="0" fontId="26" fillId="0" borderId="2" xfId="0" applyFont="1" applyFill="1" applyBorder="1"/>
    <xf numFmtId="0" fontId="26" fillId="0" borderId="52" xfId="0" applyFont="1" applyFill="1" applyBorder="1"/>
    <xf numFmtId="0" fontId="26" fillId="0" borderId="19" xfId="0" applyFont="1" applyFill="1" applyBorder="1"/>
    <xf numFmtId="0" fontId="26" fillId="12" borderId="2" xfId="0" applyFont="1" applyFill="1" applyBorder="1"/>
    <xf numFmtId="0" fontId="26" fillId="12" borderId="52" xfId="0" applyFont="1" applyFill="1" applyBorder="1"/>
    <xf numFmtId="0" fontId="23" fillId="12" borderId="52" xfId="0" applyFont="1" applyFill="1" applyBorder="1"/>
    <xf numFmtId="0" fontId="23" fillId="12" borderId="19" xfId="0" applyFont="1" applyFill="1" applyBorder="1"/>
    <xf numFmtId="0" fontId="26" fillId="13" borderId="16" xfId="0" applyFont="1" applyFill="1" applyBorder="1"/>
    <xf numFmtId="0" fontId="26" fillId="13" borderId="55" xfId="0" applyFont="1" applyFill="1" applyBorder="1"/>
    <xf numFmtId="0" fontId="26" fillId="13" borderId="10" xfId="0" applyFont="1" applyFill="1" applyBorder="1"/>
    <xf numFmtId="0" fontId="26" fillId="0" borderId="0" xfId="0" applyFont="1" applyFill="1" applyAlignment="1">
      <alignment horizontal="right"/>
    </xf>
    <xf numFmtId="0" fontId="26" fillId="0" borderId="0" xfId="0" applyFont="1" applyFill="1" applyBorder="1" applyAlignment="1">
      <alignment horizontal="right"/>
    </xf>
    <xf numFmtId="14" fontId="0" fillId="0" borderId="1" xfId="0" applyNumberFormat="1" applyFill="1" applyBorder="1"/>
    <xf numFmtId="0" fontId="23" fillId="0" borderId="24" xfId="0" applyFont="1" applyFill="1" applyBorder="1" applyAlignment="1">
      <alignment horizontal="center" vertical="center" wrapText="1"/>
    </xf>
    <xf numFmtId="2" fontId="5" fillId="0" borderId="0" xfId="0" applyNumberFormat="1" applyFont="1" applyFill="1" applyBorder="1"/>
    <xf numFmtId="0" fontId="0" fillId="0" borderId="1" xfId="0" applyFill="1" applyBorder="1" applyAlignment="1">
      <alignment horizontal="right"/>
    </xf>
    <xf numFmtId="0" fontId="12" fillId="6" borderId="2" xfId="0" applyNumberFormat="1" applyFont="1" applyFill="1" applyBorder="1" applyAlignment="1" applyProtection="1">
      <alignment horizontal="center" vertical="center" wrapText="1"/>
    </xf>
    <xf numFmtId="0" fontId="5" fillId="17" borderId="1" xfId="0" applyFont="1" applyFill="1" applyBorder="1" applyAlignment="1">
      <alignment horizontal="center" vertical="center"/>
    </xf>
    <xf numFmtId="14" fontId="5" fillId="17" borderId="1" xfId="0" applyNumberFormat="1" applyFont="1" applyFill="1" applyBorder="1" applyAlignment="1">
      <alignment horizontal="center" vertical="center" wrapText="1"/>
    </xf>
    <xf numFmtId="0" fontId="5" fillId="17" borderId="1" xfId="0" applyFont="1" applyFill="1" applyBorder="1" applyAlignment="1">
      <alignment horizontal="center" vertical="center" wrapText="1"/>
    </xf>
    <xf numFmtId="49" fontId="5" fillId="17" borderId="1" xfId="0" applyNumberFormat="1" applyFont="1" applyFill="1" applyBorder="1" applyAlignment="1">
      <alignment horizontal="center" vertical="center"/>
    </xf>
    <xf numFmtId="49" fontId="5" fillId="17" borderId="1" xfId="0" applyNumberFormat="1" applyFont="1" applyFill="1" applyBorder="1" applyAlignment="1">
      <alignment horizontal="center"/>
    </xf>
    <xf numFmtId="49" fontId="5" fillId="17" borderId="1" xfId="0" applyNumberFormat="1" applyFont="1" applyFill="1" applyBorder="1" applyAlignment="1">
      <alignment horizontal="center" vertical="center" wrapText="1"/>
    </xf>
    <xf numFmtId="0" fontId="5" fillId="17" borderId="1" xfId="0" applyNumberFormat="1" applyFont="1" applyFill="1" applyBorder="1" applyAlignment="1">
      <alignment horizontal="center" vertical="center" wrapText="1"/>
    </xf>
    <xf numFmtId="0" fontId="5" fillId="17" borderId="0" xfId="0" applyFont="1" applyFill="1" applyBorder="1" applyAlignment="1">
      <alignment horizontal="center" vertical="center"/>
    </xf>
    <xf numFmtId="49" fontId="0" fillId="0" borderId="0" xfId="0" applyNumberFormat="1" applyFill="1" applyBorder="1"/>
    <xf numFmtId="0" fontId="36" fillId="11" borderId="28" xfId="0" applyNumberFormat="1" applyFont="1" applyFill="1" applyBorder="1" applyAlignment="1" applyProtection="1">
      <alignment horizontal="left" wrapText="1"/>
    </xf>
    <xf numFmtId="4" fontId="36" fillId="11" borderId="28" xfId="0" applyNumberFormat="1" applyFont="1" applyFill="1" applyBorder="1" applyAlignment="1" applyProtection="1">
      <alignment horizontal="right" wrapText="1"/>
    </xf>
    <xf numFmtId="0" fontId="1" fillId="0" borderId="1" xfId="0" applyFont="1" applyBorder="1" applyAlignment="1">
      <alignment horizontal="center"/>
    </xf>
    <xf numFmtId="2" fontId="26" fillId="2" borderId="10" xfId="0" applyNumberFormat="1" applyFont="1" applyFill="1" applyBorder="1"/>
    <xf numFmtId="1" fontId="26" fillId="2" borderId="55" xfId="0" applyNumberFormat="1" applyFont="1" applyFill="1" applyBorder="1" applyAlignment="1">
      <alignment horizontal="center"/>
    </xf>
    <xf numFmtId="0" fontId="26" fillId="2" borderId="0" xfId="0" applyFont="1" applyFill="1" applyBorder="1"/>
    <xf numFmtId="4" fontId="36" fillId="2" borderId="28" xfId="0" applyNumberFormat="1" applyFont="1" applyFill="1" applyBorder="1" applyAlignment="1" applyProtection="1">
      <alignment horizontal="right" wrapText="1"/>
    </xf>
    <xf numFmtId="4" fontId="36" fillId="2" borderId="1" xfId="0" applyNumberFormat="1" applyFont="1" applyFill="1" applyBorder="1" applyAlignment="1" applyProtection="1">
      <alignment horizontal="right" wrapText="1"/>
    </xf>
    <xf numFmtId="4" fontId="36" fillId="2" borderId="42" xfId="0" applyNumberFormat="1" applyFont="1" applyFill="1" applyBorder="1" applyAlignment="1" applyProtection="1">
      <alignment horizontal="right" wrapText="1"/>
    </xf>
    <xf numFmtId="4" fontId="36" fillId="2" borderId="48" xfId="0" applyNumberFormat="1" applyFont="1" applyFill="1" applyBorder="1" applyAlignment="1" applyProtection="1">
      <alignment horizontal="right" wrapText="1"/>
    </xf>
    <xf numFmtId="4" fontId="36" fillId="2" borderId="4" xfId="0" applyNumberFormat="1" applyFont="1" applyFill="1" applyBorder="1" applyAlignment="1" applyProtection="1">
      <alignment horizontal="right" wrapText="1"/>
    </xf>
    <xf numFmtId="14" fontId="36" fillId="17" borderId="28" xfId="0" applyNumberFormat="1" applyFont="1" applyFill="1" applyBorder="1" applyAlignment="1" applyProtection="1">
      <alignment horizontal="left" wrapText="1"/>
    </xf>
    <xf numFmtId="4" fontId="36" fillId="17" borderId="28" xfId="0" applyNumberFormat="1" applyFont="1" applyFill="1" applyBorder="1" applyAlignment="1" applyProtection="1">
      <alignment horizontal="right" wrapText="1"/>
    </xf>
    <xf numFmtId="4" fontId="36" fillId="17" borderId="1" xfId="0" applyNumberFormat="1" applyFont="1" applyFill="1" applyBorder="1" applyAlignment="1" applyProtection="1">
      <alignment horizontal="right" wrapText="1"/>
    </xf>
    <xf numFmtId="14" fontId="36" fillId="17" borderId="73" xfId="0" applyNumberFormat="1" applyFont="1" applyFill="1" applyBorder="1" applyAlignment="1" applyProtection="1">
      <alignment horizontal="left" wrapText="1"/>
    </xf>
    <xf numFmtId="4" fontId="36" fillId="17" borderId="42" xfId="0" applyNumberFormat="1" applyFont="1" applyFill="1" applyBorder="1" applyAlignment="1" applyProtection="1">
      <alignment horizontal="right" wrapText="1"/>
    </xf>
    <xf numFmtId="0" fontId="0" fillId="17" borderId="1" xfId="0" applyFill="1" applyBorder="1"/>
    <xf numFmtId="4" fontId="36" fillId="17" borderId="48" xfId="0" applyNumberFormat="1" applyFont="1" applyFill="1" applyBorder="1" applyAlignment="1" applyProtection="1">
      <alignment horizontal="right" wrapText="1"/>
    </xf>
    <xf numFmtId="4" fontId="36" fillId="17" borderId="4" xfId="0" applyNumberFormat="1" applyFont="1" applyFill="1" applyBorder="1" applyAlignment="1" applyProtection="1">
      <alignment horizontal="right" wrapText="1"/>
    </xf>
    <xf numFmtId="0" fontId="1" fillId="0" borderId="0" xfId="0" applyFont="1"/>
    <xf numFmtId="0" fontId="0" fillId="17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" fontId="0" fillId="0" borderId="0" xfId="0" applyNumberFormat="1" applyFill="1" applyBorder="1"/>
    <xf numFmtId="0" fontId="36" fillId="17" borderId="1" xfId="0" applyNumberFormat="1" applyFont="1" applyFill="1" applyBorder="1" applyAlignment="1" applyProtection="1">
      <alignment horizontal="left" wrapText="1"/>
    </xf>
    <xf numFmtId="0" fontId="36" fillId="17" borderId="28" xfId="0" applyNumberFormat="1" applyFont="1" applyFill="1" applyBorder="1" applyAlignment="1" applyProtection="1">
      <alignment horizontal="left" wrapText="1"/>
    </xf>
    <xf numFmtId="3" fontId="5" fillId="17" borderId="1" xfId="0" applyNumberFormat="1" applyFont="1" applyFill="1" applyBorder="1" applyAlignment="1">
      <alignment horizontal="center" vertical="center"/>
    </xf>
    <xf numFmtId="0" fontId="5" fillId="17" borderId="4" xfId="0" applyFont="1" applyFill="1" applyBorder="1" applyAlignment="1">
      <alignment horizontal="center" vertical="center"/>
    </xf>
    <xf numFmtId="0" fontId="36" fillId="17" borderId="73" xfId="0" applyNumberFormat="1" applyFont="1" applyFill="1" applyBorder="1" applyAlignment="1" applyProtection="1">
      <alignment horizontal="left" wrapText="1"/>
    </xf>
    <xf numFmtId="3" fontId="5" fillId="17" borderId="4" xfId="0" applyNumberFormat="1" applyFont="1" applyFill="1" applyBorder="1" applyAlignment="1">
      <alignment horizontal="center" vertical="center"/>
    </xf>
    <xf numFmtId="4" fontId="36" fillId="17" borderId="2" xfId="0" applyNumberFormat="1" applyFont="1" applyFill="1" applyBorder="1" applyAlignment="1" applyProtection="1">
      <alignment horizontal="right" wrapText="1"/>
    </xf>
    <xf numFmtId="4" fontId="36" fillId="17" borderId="47" xfId="0" applyNumberFormat="1" applyFont="1" applyFill="1" applyBorder="1" applyAlignment="1" applyProtection="1">
      <alignment horizontal="right" wrapText="1"/>
    </xf>
    <xf numFmtId="167" fontId="0" fillId="0" borderId="0" xfId="0" applyNumberFormat="1"/>
    <xf numFmtId="167" fontId="0" fillId="0" borderId="0" xfId="0" applyNumberFormat="1" applyAlignment="1">
      <alignment horizontal="right"/>
    </xf>
    <xf numFmtId="1" fontId="26" fillId="0" borderId="74" xfId="0" applyNumberFormat="1" applyFont="1" applyBorder="1"/>
    <xf numFmtId="2" fontId="26" fillId="0" borderId="30" xfId="0" applyNumberFormat="1" applyFont="1" applyBorder="1"/>
    <xf numFmtId="2" fontId="23" fillId="6" borderId="0" xfId="0" applyNumberFormat="1" applyFont="1" applyFill="1" applyAlignment="1">
      <alignment horizontal="center"/>
    </xf>
    <xf numFmtId="0" fontId="26" fillId="0" borderId="75" xfId="0" applyFont="1" applyBorder="1"/>
    <xf numFmtId="0" fontId="23" fillId="0" borderId="76" xfId="0" applyFont="1" applyFill="1" applyBorder="1" applyAlignment="1">
      <alignment horizontal="center" vertical="center" wrapText="1"/>
    </xf>
    <xf numFmtId="1" fontId="23" fillId="6" borderId="29" xfId="0" applyNumberFormat="1" applyFont="1" applyFill="1" applyBorder="1" applyAlignment="1">
      <alignment horizontal="center" vertical="center" wrapText="1"/>
    </xf>
    <xf numFmtId="1" fontId="23" fillId="6" borderId="77" xfId="0" applyNumberFormat="1" applyFont="1" applyFill="1" applyBorder="1" applyAlignment="1">
      <alignment horizontal="center" vertical="center" wrapText="1"/>
    </xf>
    <xf numFmtId="164" fontId="37" fillId="17" borderId="78" xfId="0" applyNumberFormat="1" applyFont="1" applyFill="1" applyBorder="1" applyAlignment="1" applyProtection="1">
      <alignment vertical="center" wrapText="1"/>
    </xf>
    <xf numFmtId="164" fontId="37" fillId="17" borderId="42" xfId="0" applyNumberFormat="1" applyFont="1" applyFill="1" applyBorder="1" applyAlignment="1" applyProtection="1">
      <alignment vertical="center" wrapText="1"/>
    </xf>
    <xf numFmtId="164" fontId="37" fillId="17" borderId="28" xfId="0" applyNumberFormat="1" applyFont="1" applyFill="1" applyBorder="1" applyAlignment="1" applyProtection="1">
      <alignment vertical="center" wrapText="1"/>
    </xf>
    <xf numFmtId="4" fontId="37" fillId="17" borderId="28" xfId="0" applyNumberFormat="1" applyFont="1" applyFill="1" applyBorder="1" applyAlignment="1" applyProtection="1">
      <alignment horizontal="right" vertical="center" wrapText="1"/>
    </xf>
    <xf numFmtId="164" fontId="37" fillId="17" borderId="47" xfId="0" applyNumberFormat="1" applyFont="1" applyFill="1" applyBorder="1" applyAlignment="1" applyProtection="1">
      <alignment vertical="center" wrapText="1"/>
    </xf>
    <xf numFmtId="0" fontId="11" fillId="6" borderId="2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2" xfId="0" applyNumberFormat="1" applyBorder="1" applyAlignment="1">
      <alignment horizontal="right"/>
    </xf>
    <xf numFmtId="0" fontId="0" fillId="16" borderId="27" xfId="0" applyFill="1" applyBorder="1" applyAlignment="1">
      <alignment horizontal="center" vertical="center" wrapText="1"/>
    </xf>
    <xf numFmtId="0" fontId="5" fillId="17" borderId="56" xfId="0" applyFont="1" applyFill="1" applyBorder="1" applyAlignment="1">
      <alignment horizontal="center" vertical="center"/>
    </xf>
    <xf numFmtId="0" fontId="5" fillId="17" borderId="79" xfId="0" applyFont="1" applyFill="1" applyBorder="1" applyAlignment="1">
      <alignment horizontal="center" vertical="center"/>
    </xf>
    <xf numFmtId="3" fontId="5" fillId="17" borderId="79" xfId="0" applyNumberFormat="1" applyFont="1" applyFill="1" applyBorder="1" applyAlignment="1">
      <alignment horizontal="center" vertical="center"/>
    </xf>
    <xf numFmtId="0" fontId="5" fillId="17" borderId="80" xfId="0" applyFont="1" applyFill="1" applyBorder="1" applyAlignment="1">
      <alignment horizontal="center" vertical="center"/>
    </xf>
    <xf numFmtId="2" fontId="26" fillId="2" borderId="72" xfId="0" applyNumberFormat="1" applyFont="1" applyFill="1" applyBorder="1"/>
    <xf numFmtId="0" fontId="0" fillId="3" borderId="10" xfId="0" applyFill="1" applyBorder="1" applyAlignment="1">
      <alignment horizontal="center" vertical="center"/>
    </xf>
    <xf numFmtId="4" fontId="37" fillId="17" borderId="81" xfId="0" applyNumberFormat="1" applyFont="1" applyFill="1" applyBorder="1" applyAlignment="1" applyProtection="1">
      <alignment horizontal="right" vertical="center" wrapText="1"/>
    </xf>
    <xf numFmtId="4" fontId="37" fillId="17" borderId="54" xfId="0" applyNumberFormat="1" applyFont="1" applyFill="1" applyBorder="1" applyAlignment="1" applyProtection="1">
      <alignment horizontal="right" vertical="center" wrapText="1"/>
    </xf>
    <xf numFmtId="4" fontId="37" fillId="17" borderId="47" xfId="0" applyNumberFormat="1" applyFont="1" applyFill="1" applyBorder="1" applyAlignment="1" applyProtection="1">
      <alignment horizontal="right" vertical="center" wrapText="1"/>
    </xf>
    <xf numFmtId="0" fontId="0" fillId="0" borderId="0" xfId="0" applyFont="1"/>
    <xf numFmtId="0" fontId="38" fillId="17" borderId="28" xfId="0" applyNumberFormat="1" applyFont="1" applyFill="1" applyBorder="1" applyAlignment="1" applyProtection="1">
      <alignment horizontal="left" wrapText="1"/>
    </xf>
    <xf numFmtId="0" fontId="38" fillId="17" borderId="48" xfId="0" applyNumberFormat="1" applyFont="1" applyFill="1" applyBorder="1" applyAlignment="1" applyProtection="1">
      <alignment horizontal="left" wrapText="1"/>
    </xf>
    <xf numFmtId="0" fontId="0" fillId="16" borderId="84" xfId="0" applyFill="1" applyBorder="1" applyAlignment="1">
      <alignment horizontal="center" vertical="center" wrapText="1"/>
    </xf>
    <xf numFmtId="0" fontId="11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0" xfId="0" applyBorder="1"/>
    <xf numFmtId="0" fontId="0" fillId="0" borderId="84" xfId="0" applyBorder="1"/>
    <xf numFmtId="4" fontId="1" fillId="0" borderId="2" xfId="0" applyNumberFormat="1" applyFont="1" applyBorder="1"/>
    <xf numFmtId="0" fontId="0" fillId="16" borderId="19" xfId="0" applyFill="1" applyBorder="1" applyAlignment="1">
      <alignment horizontal="center" vertical="center" wrapText="1"/>
    </xf>
    <xf numFmtId="0" fontId="5" fillId="17" borderId="82" xfId="0" applyFont="1" applyFill="1" applyBorder="1" applyAlignment="1">
      <alignment horizontal="center" vertical="center"/>
    </xf>
    <xf numFmtId="4" fontId="36" fillId="17" borderId="38" xfId="0" applyNumberFormat="1" applyFont="1" applyFill="1" applyBorder="1" applyAlignment="1" applyProtection="1">
      <alignment horizontal="right" wrapText="1"/>
    </xf>
    <xf numFmtId="3" fontId="5" fillId="17" borderId="82" xfId="0" applyNumberFormat="1" applyFont="1" applyFill="1" applyBorder="1" applyAlignment="1">
      <alignment horizontal="center" vertical="center"/>
    </xf>
    <xf numFmtId="0" fontId="5" fillId="17" borderId="85" xfId="0" applyFont="1" applyFill="1" applyBorder="1" applyAlignment="1">
      <alignment horizontal="center" vertical="center"/>
    </xf>
    <xf numFmtId="3" fontId="5" fillId="17" borderId="85" xfId="0" applyNumberFormat="1" applyFont="1" applyFill="1" applyBorder="1" applyAlignment="1">
      <alignment horizontal="center" vertical="center"/>
    </xf>
    <xf numFmtId="0" fontId="0" fillId="17" borderId="85" xfId="0" applyFont="1" applyFill="1" applyBorder="1" applyAlignment="1">
      <alignment horizontal="center" vertical="center"/>
    </xf>
    <xf numFmtId="4" fontId="38" fillId="17" borderId="38" xfId="0" applyNumberFormat="1" applyFont="1" applyFill="1" applyBorder="1" applyAlignment="1" applyProtection="1">
      <alignment horizontal="right" wrapText="1"/>
    </xf>
    <xf numFmtId="4" fontId="38" fillId="17" borderId="86" xfId="0" applyNumberFormat="1" applyFont="1" applyFill="1" applyBorder="1" applyAlignment="1" applyProtection="1">
      <alignment horizontal="right" wrapText="1"/>
    </xf>
    <xf numFmtId="0" fontId="1" fillId="0" borderId="84" xfId="0" applyFont="1" applyBorder="1"/>
    <xf numFmtId="4" fontId="1" fillId="0" borderId="40" xfId="0" applyNumberFormat="1" applyFont="1" applyBorder="1"/>
    <xf numFmtId="4" fontId="0" fillId="0" borderId="2" xfId="0" applyNumberFormat="1" applyBorder="1"/>
    <xf numFmtId="0" fontId="0" fillId="17" borderId="52" xfId="0" applyFont="1" applyFill="1" applyBorder="1" applyAlignment="1">
      <alignment horizontal="center" vertical="center"/>
    </xf>
    <xf numFmtId="3" fontId="0" fillId="17" borderId="52" xfId="0" applyNumberFormat="1" applyFont="1" applyFill="1" applyBorder="1" applyAlignment="1">
      <alignment horizontal="center" vertical="center"/>
    </xf>
    <xf numFmtId="0" fontId="0" fillId="17" borderId="6" xfId="0" applyFont="1" applyFill="1" applyBorder="1" applyAlignment="1">
      <alignment horizontal="center" vertical="center"/>
    </xf>
    <xf numFmtId="3" fontId="0" fillId="17" borderId="6" xfId="0" applyNumberFormat="1" applyFont="1" applyFill="1" applyBorder="1" applyAlignment="1">
      <alignment horizontal="center" vertical="center"/>
    </xf>
    <xf numFmtId="0" fontId="1" fillId="0" borderId="19" xfId="0" applyFont="1" applyBorder="1"/>
    <xf numFmtId="4" fontId="0" fillId="0" borderId="40" xfId="0" applyNumberFormat="1" applyBorder="1"/>
    <xf numFmtId="0" fontId="5" fillId="17" borderId="19" xfId="0" applyFont="1" applyFill="1" applyBorder="1" applyAlignment="1">
      <alignment horizontal="center" vertical="center"/>
    </xf>
    <xf numFmtId="3" fontId="5" fillId="17" borderId="19" xfId="0" applyNumberFormat="1" applyFont="1" applyFill="1" applyBorder="1" applyAlignment="1">
      <alignment horizontal="center" vertical="center"/>
    </xf>
    <xf numFmtId="0" fontId="1" fillId="0" borderId="40" xfId="0" applyFont="1" applyBorder="1"/>
    <xf numFmtId="2" fontId="26" fillId="0" borderId="1" xfId="0" applyNumberFormat="1" applyFont="1" applyFill="1" applyBorder="1"/>
    <xf numFmtId="2" fontId="28" fillId="0" borderId="0" xfId="0" applyNumberFormat="1" applyFont="1" applyAlignment="1">
      <alignment horizontal="center" wrapText="1"/>
    </xf>
    <xf numFmtId="2" fontId="23" fillId="7" borderId="23" xfId="0" applyNumberFormat="1" applyFont="1" applyFill="1" applyBorder="1"/>
    <xf numFmtId="2" fontId="23" fillId="0" borderId="21" xfId="0" applyNumberFormat="1" applyFont="1" applyFill="1" applyBorder="1" applyAlignment="1">
      <alignment horizontal="center" vertical="center" wrapText="1"/>
    </xf>
    <xf numFmtId="2" fontId="23" fillId="6" borderId="29" xfId="0" applyNumberFormat="1" applyFont="1" applyFill="1" applyBorder="1" applyAlignment="1">
      <alignment horizontal="center" vertical="center" wrapText="1"/>
    </xf>
    <xf numFmtId="2" fontId="26" fillId="2" borderId="30" xfId="0" applyNumberFormat="1" applyFont="1" applyFill="1" applyBorder="1"/>
    <xf numFmtId="2" fontId="23" fillId="0" borderId="2" xfId="0" applyNumberFormat="1" applyFont="1" applyBorder="1"/>
    <xf numFmtId="2" fontId="23" fillId="0" borderId="17" xfId="0" applyNumberFormat="1" applyFont="1" applyFill="1" applyBorder="1"/>
    <xf numFmtId="2" fontId="23" fillId="6" borderId="17" xfId="0" applyNumberFormat="1" applyFont="1" applyFill="1" applyBorder="1"/>
    <xf numFmtId="2" fontId="26" fillId="0" borderId="0" xfId="0" applyNumberFormat="1" applyFont="1"/>
    <xf numFmtId="2" fontId="26" fillId="0" borderId="19" xfId="0" applyNumberFormat="1" applyFont="1" applyBorder="1"/>
    <xf numFmtId="2" fontId="26" fillId="12" borderId="19" xfId="0" applyNumberFormat="1" applyFont="1" applyFill="1" applyBorder="1"/>
    <xf numFmtId="2" fontId="26" fillId="13" borderId="10" xfId="0" applyNumberFormat="1" applyFont="1" applyFill="1" applyBorder="1"/>
    <xf numFmtId="2" fontId="5" fillId="10" borderId="0" xfId="0" applyNumberFormat="1" applyFont="1" applyFill="1"/>
    <xf numFmtId="0" fontId="11" fillId="16" borderId="84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1" fillId="6" borderId="40" xfId="0" applyFont="1" applyFill="1" applyBorder="1" applyAlignment="1">
      <alignment horizontal="center" vertical="center" wrapText="1"/>
    </xf>
    <xf numFmtId="0" fontId="0" fillId="0" borderId="57" xfId="0" applyBorder="1"/>
    <xf numFmtId="0" fontId="0" fillId="0" borderId="84" xfId="0" applyBorder="1" applyAlignment="1">
      <alignment horizontal="right"/>
    </xf>
    <xf numFmtId="2" fontId="0" fillId="0" borderId="40" xfId="0" applyNumberFormat="1" applyBorder="1"/>
    <xf numFmtId="0" fontId="1" fillId="0" borderId="87" xfId="0" applyFont="1" applyBorder="1"/>
    <xf numFmtId="0" fontId="1" fillId="0" borderId="57" xfId="0" applyFont="1" applyBorder="1"/>
    <xf numFmtId="4" fontId="1" fillId="0" borderId="88" xfId="0" applyNumberFormat="1" applyFont="1" applyBorder="1"/>
    <xf numFmtId="0" fontId="1" fillId="0" borderId="88" xfId="0" applyFont="1" applyBorder="1"/>
    <xf numFmtId="0" fontId="5" fillId="17" borderId="2" xfId="0" applyFont="1" applyFill="1" applyBorder="1" applyAlignment="1">
      <alignment horizontal="center" vertical="center"/>
    </xf>
    <xf numFmtId="0" fontId="5" fillId="17" borderId="5" xfId="0" applyFont="1" applyFill="1" applyBorder="1" applyAlignment="1">
      <alignment horizontal="center" vertical="center"/>
    </xf>
    <xf numFmtId="2" fontId="26" fillId="0" borderId="17" xfId="0" applyNumberFormat="1" applyFont="1" applyBorder="1"/>
    <xf numFmtId="2" fontId="26" fillId="0" borderId="30" xfId="0" applyNumberFormat="1" applyFont="1" applyFill="1" applyBorder="1"/>
    <xf numFmtId="2" fontId="26" fillId="0" borderId="62" xfId="0" applyNumberFormat="1" applyFont="1" applyFill="1" applyBorder="1" applyAlignment="1">
      <alignment horizontal="center"/>
    </xf>
    <xf numFmtId="2" fontId="26" fillId="0" borderId="10" xfId="0" applyNumberFormat="1" applyFont="1" applyFill="1" applyBorder="1" applyAlignment="1">
      <alignment horizontal="center"/>
    </xf>
    <xf numFmtId="2" fontId="26" fillId="0" borderId="65" xfId="0" applyNumberFormat="1" applyFont="1" applyFill="1" applyBorder="1" applyAlignment="1">
      <alignment horizontal="center"/>
    </xf>
    <xf numFmtId="2" fontId="26" fillId="0" borderId="55" xfId="0" applyNumberFormat="1" applyFont="1" applyFill="1" applyBorder="1" applyAlignment="1">
      <alignment horizontal="center"/>
    </xf>
    <xf numFmtId="2" fontId="26" fillId="0" borderId="64" xfId="0" applyNumberFormat="1" applyFont="1" applyFill="1" applyBorder="1" applyAlignment="1">
      <alignment horizontal="center"/>
    </xf>
    <xf numFmtId="2" fontId="26" fillId="0" borderId="0" xfId="0" applyNumberFormat="1" applyFont="1" applyFill="1" applyBorder="1"/>
    <xf numFmtId="2" fontId="26" fillId="0" borderId="0" xfId="0" applyNumberFormat="1" applyFont="1" applyFill="1"/>
    <xf numFmtId="1" fontId="26" fillId="0" borderId="19" xfId="0" applyNumberFormat="1" applyFont="1" applyBorder="1" applyAlignment="1">
      <alignment horizontal="center"/>
    </xf>
    <xf numFmtId="1" fontId="26" fillId="0" borderId="1" xfId="0" applyNumberFormat="1" applyFont="1" applyBorder="1" applyAlignment="1">
      <alignment horizontal="center"/>
    </xf>
    <xf numFmtId="1" fontId="23" fillId="12" borderId="0" xfId="0" applyNumberFormat="1" applyFont="1" applyFill="1" applyAlignment="1">
      <alignment horizontal="center"/>
    </xf>
    <xf numFmtId="0" fontId="27" fillId="0" borderId="0" xfId="0" applyFont="1" applyAlignment="1">
      <alignment horizontal="center"/>
    </xf>
    <xf numFmtId="0" fontId="28" fillId="0" borderId="55" xfId="0" applyFont="1" applyBorder="1" applyAlignment="1">
      <alignment horizontal="center"/>
    </xf>
    <xf numFmtId="0" fontId="35" fillId="0" borderId="55" xfId="0" applyFont="1" applyBorder="1" applyAlignment="1">
      <alignment horizontal="center"/>
    </xf>
    <xf numFmtId="0" fontId="23" fillId="0" borderId="24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1" fontId="23" fillId="15" borderId="68" xfId="0" applyNumberFormat="1" applyFont="1" applyFill="1" applyBorder="1" applyAlignment="1">
      <alignment horizontal="center"/>
    </xf>
    <xf numFmtId="0" fontId="27" fillId="15" borderId="67" xfId="0" applyFont="1" applyFill="1" applyBorder="1" applyAlignment="1">
      <alignment horizontal="center"/>
    </xf>
    <xf numFmtId="0" fontId="30" fillId="14" borderId="68" xfId="0" applyFont="1" applyFill="1" applyBorder="1" applyAlignment="1">
      <alignment horizontal="center"/>
    </xf>
    <xf numFmtId="0" fontId="27" fillId="14" borderId="67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0" fillId="0" borderId="1" xfId="0" applyBorder="1" applyAlignment="1"/>
    <xf numFmtId="0" fontId="1" fillId="0" borderId="1" xfId="0" applyFont="1" applyBorder="1" applyAlignment="1">
      <alignment horizontal="center"/>
    </xf>
    <xf numFmtId="0" fontId="0" fillId="0" borderId="2" xfId="0" applyBorder="1" applyAlignment="1"/>
    <xf numFmtId="0" fontId="10" fillId="0" borderId="2" xfId="0" applyFont="1" applyFill="1" applyBorder="1" applyAlignment="1">
      <alignment horizontal="center"/>
    </xf>
    <xf numFmtId="0" fontId="0" fillId="0" borderId="52" xfId="0" applyBorder="1" applyAlignment="1"/>
    <xf numFmtId="0" fontId="0" fillId="0" borderId="19" xfId="0" applyBorder="1" applyAlignment="1"/>
    <xf numFmtId="0" fontId="1" fillId="0" borderId="84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83" xfId="0" applyFont="1" applyBorder="1" applyAlignment="1">
      <alignment horizontal="center"/>
    </xf>
    <xf numFmtId="0" fontId="39" fillId="0" borderId="84" xfId="0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0" fontId="39" fillId="0" borderId="40" xfId="0" applyFont="1" applyBorder="1" applyAlignment="1">
      <alignment horizontal="center"/>
    </xf>
    <xf numFmtId="0" fontId="1" fillId="0" borderId="82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2" fontId="1" fillId="0" borderId="88" xfId="0" applyNumberFormat="1" applyFont="1" applyBorder="1"/>
    <xf numFmtId="2" fontId="36" fillId="17" borderId="47" xfId="0" applyNumberFormat="1" applyFont="1" applyFill="1" applyBorder="1" applyAlignment="1" applyProtection="1">
      <alignment horizontal="right" wrapText="1"/>
    </xf>
    <xf numFmtId="0" fontId="5" fillId="17" borderId="84" xfId="0" applyFont="1" applyFill="1" applyBorder="1" applyAlignment="1">
      <alignment horizontal="center" vertical="center"/>
    </xf>
    <xf numFmtId="0" fontId="36" fillId="11" borderId="28" xfId="0" applyNumberFormat="1" applyFont="1" applyFill="1" applyBorder="1" applyAlignment="1" applyProtection="1">
      <alignment horizontal="left" wrapText="1" shrinkToFit="1"/>
    </xf>
    <xf numFmtId="2" fontId="1" fillId="0" borderId="2" xfId="0" applyNumberFormat="1" applyFont="1" applyBorder="1"/>
    <xf numFmtId="0" fontId="36" fillId="11" borderId="78" xfId="0" applyNumberFormat="1" applyFont="1" applyFill="1" applyBorder="1" applyAlignment="1" applyProtection="1">
      <alignment horizontal="left" wrapText="1" shrinkToFit="1"/>
    </xf>
    <xf numFmtId="4" fontId="36" fillId="11" borderId="89" xfId="0" applyNumberFormat="1" applyFont="1" applyFill="1" applyBorder="1" applyAlignment="1" applyProtection="1">
      <alignment horizontal="right" wrapText="1" shrinkToFit="1"/>
    </xf>
    <xf numFmtId="4" fontId="36" fillId="11" borderId="38" xfId="0" applyNumberFormat="1" applyFont="1" applyFill="1" applyBorder="1" applyAlignment="1" applyProtection="1">
      <alignment horizontal="right" wrapText="1" shrinkToFit="1"/>
    </xf>
  </cellXfs>
  <cellStyles count="1">
    <cellStyle name="Обычный" xfId="0" builtinId="0"/>
  </cellStyles>
  <dxfs count="70"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8DB4E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 patternType="solid">
          <bgColor rgb="FFFFC7CE"/>
        </patternFill>
      </fill>
    </dxf>
    <dxf>
      <fill>
        <patternFill>
          <bgColor theme="3" tint="0.59996337778862885"/>
        </patternFill>
      </fill>
    </dxf>
  </dxfs>
  <tableStyles count="0" defaultTableStyle="TableStyleMedium9" defaultPivotStyle="PivotStyleLight16"/>
  <colors>
    <mruColors>
      <color rgb="FFFFC7CE"/>
      <color rgb="FF8DB4E2"/>
      <color rgb="FFEDADAD"/>
      <color rgb="FFFC39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DTO197"/>
  <sheetViews>
    <sheetView tabSelected="1" zoomScaleNormal="100" workbookViewId="0">
      <pane xSplit="2" ySplit="4" topLeftCell="C5" activePane="bottomRight" state="frozen"/>
      <selection activeCell="G17" sqref="G17"/>
      <selection pane="topRight" activeCell="G17" sqref="G17"/>
      <selection pane="bottomLeft" activeCell="G17" sqref="G17"/>
      <selection pane="bottomRight" activeCell="BB23" sqref="BB23"/>
    </sheetView>
  </sheetViews>
  <sheetFormatPr defaultRowHeight="14.4" x14ac:dyDescent="0.3"/>
  <cols>
    <col min="1" max="1" width="11" style="23" customWidth="1"/>
    <col min="2" max="2" width="15.21875" style="23" hidden="1" customWidth="1"/>
    <col min="3" max="3" width="9.21875" style="23" customWidth="1"/>
    <col min="4" max="4" width="9.5546875" style="23" customWidth="1"/>
    <col min="5" max="5" width="12.6640625" style="23" customWidth="1"/>
    <col min="6" max="6" width="7.5546875" style="23" customWidth="1"/>
    <col min="7" max="7" width="8.77734375" style="23" customWidth="1"/>
    <col min="8" max="8" width="7.88671875" style="23" customWidth="1"/>
    <col min="9" max="9" width="8.6640625" style="23" customWidth="1"/>
    <col min="10" max="10" width="8.21875" style="23" customWidth="1"/>
    <col min="11" max="11" width="10.77734375" style="23" customWidth="1"/>
    <col min="12" max="12" width="8.44140625" style="23" customWidth="1"/>
    <col min="13" max="13" width="11.5546875" style="23" customWidth="1"/>
    <col min="14" max="14" width="8.109375" style="23" customWidth="1"/>
    <col min="15" max="15" width="7.33203125" style="23" customWidth="1"/>
    <col min="16" max="17" width="8.33203125" style="23" customWidth="1"/>
    <col min="18" max="18" width="11.21875" style="23" hidden="1" customWidth="1"/>
    <col min="19" max="19" width="9" style="23" hidden="1" customWidth="1"/>
    <col min="20" max="20" width="11.21875" style="76" hidden="1" customWidth="1"/>
    <col min="21" max="21" width="9.33203125" style="23" customWidth="1"/>
    <col min="22" max="22" width="9.109375" style="23" customWidth="1"/>
    <col min="23" max="23" width="8.77734375" style="23" customWidth="1"/>
    <col min="24" max="24" width="0.109375" style="23" hidden="1" customWidth="1"/>
    <col min="25" max="25" width="12.44140625" style="23" hidden="1" customWidth="1"/>
    <col min="26" max="26" width="4.88671875" style="23" customWidth="1"/>
    <col min="27" max="27" width="9.77734375" style="33" customWidth="1"/>
    <col min="28" max="28" width="10.6640625" style="33" hidden="1" customWidth="1"/>
    <col min="29" max="29" width="8.88671875" style="33" hidden="1" customWidth="1"/>
    <col min="30" max="30" width="8" hidden="1" customWidth="1"/>
    <col min="31" max="31" width="5" hidden="1" customWidth="1"/>
    <col min="32" max="32" width="8.88671875" style="33" hidden="1" customWidth="1"/>
    <col min="33" max="33" width="12" style="33" hidden="1" customWidth="1"/>
    <col min="34" max="34" width="7.5546875" style="33" hidden="1" customWidth="1"/>
    <col min="35" max="35" width="8.5546875" style="33" hidden="1" customWidth="1"/>
    <col min="36" max="43" width="0" style="33" hidden="1" customWidth="1"/>
    <col min="44" max="47" width="0" style="32" hidden="1" customWidth="1"/>
    <col min="48" max="53" width="0" style="23" hidden="1" customWidth="1"/>
    <col min="54" max="16384" width="8.88671875" style="23"/>
  </cols>
  <sheetData>
    <row r="1" spans="1:3239" s="182" customFormat="1" ht="16.8" customHeight="1" thickBot="1" x14ac:dyDescent="0.25">
      <c r="A1" s="175" t="s">
        <v>167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7"/>
      <c r="S1" s="176"/>
      <c r="T1" s="453"/>
      <c r="U1" s="489" t="s">
        <v>231</v>
      </c>
      <c r="V1" s="490"/>
      <c r="W1" s="490"/>
      <c r="X1" s="490"/>
      <c r="Y1" s="490"/>
      <c r="Z1" s="178"/>
      <c r="AA1" s="179"/>
      <c r="AB1" s="179"/>
      <c r="AC1" s="179"/>
      <c r="AD1" s="180"/>
      <c r="AE1" s="180"/>
      <c r="AF1" s="179"/>
      <c r="AG1" s="179"/>
      <c r="AH1" s="179"/>
      <c r="AI1" s="179"/>
      <c r="AJ1" s="179"/>
      <c r="AK1" s="179"/>
      <c r="AL1" s="179"/>
      <c r="AM1" s="179"/>
      <c r="AN1" s="179"/>
      <c r="AO1" s="179"/>
      <c r="AP1" s="179"/>
      <c r="AQ1" s="179"/>
      <c r="AR1" s="181"/>
      <c r="AS1" s="181"/>
      <c r="AT1" s="181"/>
      <c r="AU1" s="181"/>
    </row>
    <row r="2" spans="1:3239" s="182" customFormat="1" ht="13.2" customHeight="1" thickBot="1" x14ac:dyDescent="0.25">
      <c r="A2" s="175" t="s">
        <v>632</v>
      </c>
      <c r="Q2" s="402"/>
      <c r="R2" s="183"/>
      <c r="S2" s="184" t="s">
        <v>174</v>
      </c>
      <c r="T2" s="454"/>
      <c r="U2" s="185"/>
      <c r="V2" s="495" t="s">
        <v>626</v>
      </c>
      <c r="W2" s="496"/>
      <c r="X2" s="497" t="s">
        <v>361</v>
      </c>
      <c r="Y2" s="498"/>
      <c r="Z2" s="186"/>
      <c r="AA2" s="179"/>
      <c r="AB2" s="179"/>
      <c r="AC2" s="179"/>
      <c r="AD2" s="180"/>
      <c r="AE2" s="180"/>
      <c r="AF2" s="179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81"/>
      <c r="AS2" s="181"/>
      <c r="AT2" s="181"/>
      <c r="AU2" s="181"/>
    </row>
    <row r="3" spans="1:3239" s="203" customFormat="1" ht="42" customHeight="1" thickTop="1" thickBot="1" x14ac:dyDescent="0.25">
      <c r="A3" s="187" t="s">
        <v>153</v>
      </c>
      <c r="B3" s="188" t="s">
        <v>0</v>
      </c>
      <c r="C3" s="189" t="s">
        <v>175</v>
      </c>
      <c r="D3" s="190" t="s">
        <v>176</v>
      </c>
      <c r="E3" s="191" t="s">
        <v>115</v>
      </c>
      <c r="F3" s="192" t="s">
        <v>2</v>
      </c>
      <c r="G3" s="192" t="s">
        <v>114</v>
      </c>
      <c r="H3" s="192" t="s">
        <v>113</v>
      </c>
      <c r="I3" s="192" t="s">
        <v>162</v>
      </c>
      <c r="J3" s="192" t="s">
        <v>156</v>
      </c>
      <c r="K3" s="192" t="s">
        <v>134</v>
      </c>
      <c r="L3" s="192" t="s">
        <v>163</v>
      </c>
      <c r="M3" s="353" t="s">
        <v>142</v>
      </c>
      <c r="N3" s="193" t="s">
        <v>209</v>
      </c>
      <c r="O3" s="193" t="s">
        <v>253</v>
      </c>
      <c r="P3" s="193" t="s">
        <v>387</v>
      </c>
      <c r="Q3" s="403" t="s">
        <v>546</v>
      </c>
      <c r="R3" s="194" t="s">
        <v>242</v>
      </c>
      <c r="S3" s="195" t="s">
        <v>243</v>
      </c>
      <c r="T3" s="455" t="s">
        <v>246</v>
      </c>
      <c r="U3" s="196" t="s">
        <v>244</v>
      </c>
      <c r="V3" s="197" t="s">
        <v>245</v>
      </c>
      <c r="W3" s="198" t="s">
        <v>246</v>
      </c>
      <c r="X3" s="199" t="s">
        <v>245</v>
      </c>
      <c r="Y3" s="200" t="s">
        <v>246</v>
      </c>
      <c r="Z3" s="187" t="s">
        <v>153</v>
      </c>
      <c r="AA3" s="192" t="s">
        <v>631</v>
      </c>
      <c r="AB3" s="192" t="s">
        <v>230</v>
      </c>
      <c r="AC3" s="192" t="s">
        <v>409</v>
      </c>
      <c r="AD3" s="493" t="s">
        <v>239</v>
      </c>
      <c r="AE3" s="494"/>
      <c r="AF3" s="192" t="s">
        <v>281</v>
      </c>
      <c r="AG3" s="192" t="s">
        <v>282</v>
      </c>
      <c r="AH3" s="192" t="s">
        <v>283</v>
      </c>
      <c r="AI3" s="192" t="s">
        <v>324</v>
      </c>
      <c r="AJ3" s="192" t="s">
        <v>609</v>
      </c>
      <c r="AK3" s="201"/>
      <c r="AL3" s="201"/>
      <c r="AM3" s="201"/>
      <c r="AN3" s="201"/>
      <c r="AO3" s="201"/>
      <c r="AP3" s="201"/>
      <c r="AQ3" s="201"/>
      <c r="AR3" s="201"/>
      <c r="AS3" s="201"/>
      <c r="AT3" s="201"/>
      <c r="AU3" s="201"/>
      <c r="AV3" s="202"/>
      <c r="AW3" s="202"/>
      <c r="AX3" s="202"/>
      <c r="AY3" s="202"/>
      <c r="AZ3" s="202"/>
      <c r="BA3" s="202"/>
      <c r="BB3" s="202"/>
      <c r="BC3" s="202"/>
      <c r="BD3" s="202"/>
      <c r="BE3" s="202"/>
      <c r="BF3" s="202"/>
      <c r="BG3" s="202"/>
      <c r="BH3" s="202"/>
      <c r="BI3" s="202"/>
      <c r="BJ3" s="202"/>
      <c r="BK3" s="202"/>
      <c r="BL3" s="202"/>
      <c r="BM3" s="202"/>
      <c r="BN3" s="202"/>
      <c r="BO3" s="202"/>
      <c r="BP3" s="202"/>
      <c r="BQ3" s="202"/>
      <c r="BR3" s="202"/>
      <c r="BS3" s="202"/>
      <c r="BT3" s="202"/>
      <c r="BU3" s="202"/>
      <c r="BV3" s="202"/>
      <c r="BW3" s="202"/>
      <c r="BX3" s="202"/>
      <c r="BY3" s="202"/>
      <c r="BZ3" s="202"/>
      <c r="CA3" s="202"/>
      <c r="CB3" s="202"/>
      <c r="CC3" s="202"/>
      <c r="CD3" s="202"/>
      <c r="CE3" s="202"/>
      <c r="CF3" s="202"/>
      <c r="CG3" s="202"/>
      <c r="CH3" s="202"/>
      <c r="CI3" s="202"/>
      <c r="CJ3" s="202"/>
      <c r="CK3" s="202"/>
      <c r="CL3" s="202"/>
      <c r="CM3" s="202"/>
      <c r="CN3" s="202"/>
      <c r="CO3" s="202"/>
      <c r="CP3" s="202"/>
      <c r="CQ3" s="202"/>
      <c r="CR3" s="202"/>
      <c r="CS3" s="202"/>
      <c r="CT3" s="202"/>
      <c r="CU3" s="202"/>
      <c r="CV3" s="202"/>
      <c r="CW3" s="202"/>
      <c r="CX3" s="202"/>
      <c r="CY3" s="202"/>
      <c r="CZ3" s="202"/>
      <c r="DA3" s="202"/>
      <c r="DB3" s="202"/>
      <c r="DC3" s="202"/>
      <c r="DD3" s="202"/>
      <c r="DE3" s="202"/>
      <c r="DF3" s="202"/>
      <c r="DG3" s="202"/>
      <c r="DH3" s="202"/>
      <c r="DI3" s="202"/>
      <c r="DJ3" s="202"/>
      <c r="DK3" s="202"/>
      <c r="DL3" s="202"/>
      <c r="DM3" s="202"/>
      <c r="DN3" s="202"/>
      <c r="DO3" s="202"/>
      <c r="DP3" s="202"/>
      <c r="DQ3" s="202"/>
      <c r="DR3" s="202"/>
      <c r="DS3" s="202"/>
      <c r="DT3" s="202"/>
      <c r="DU3" s="202"/>
      <c r="DV3" s="202"/>
      <c r="DW3" s="202"/>
      <c r="DX3" s="202"/>
      <c r="DY3" s="202"/>
      <c r="DZ3" s="202"/>
      <c r="EA3" s="202"/>
      <c r="EB3" s="202"/>
      <c r="EC3" s="202"/>
      <c r="ED3" s="202"/>
      <c r="EE3" s="202"/>
      <c r="EF3" s="202"/>
      <c r="EG3" s="202"/>
      <c r="EH3" s="202"/>
      <c r="EI3" s="202"/>
      <c r="EJ3" s="202"/>
      <c r="EK3" s="202"/>
      <c r="EL3" s="202"/>
      <c r="EM3" s="202"/>
      <c r="EN3" s="202"/>
      <c r="EO3" s="202"/>
      <c r="EP3" s="202"/>
      <c r="EQ3" s="202"/>
      <c r="ER3" s="202"/>
      <c r="ES3" s="202"/>
      <c r="ET3" s="202"/>
      <c r="EU3" s="202"/>
      <c r="EV3" s="202"/>
      <c r="EW3" s="202"/>
      <c r="EX3" s="202"/>
      <c r="EY3" s="202"/>
      <c r="EZ3" s="202"/>
      <c r="FA3" s="202"/>
      <c r="FB3" s="202"/>
      <c r="FC3" s="202"/>
      <c r="FD3" s="202"/>
      <c r="FE3" s="202"/>
      <c r="FF3" s="202"/>
      <c r="FG3" s="202"/>
      <c r="FH3" s="202"/>
      <c r="FI3" s="202"/>
      <c r="FJ3" s="202"/>
      <c r="FK3" s="202"/>
      <c r="FL3" s="202"/>
      <c r="FM3" s="202"/>
      <c r="FN3" s="202"/>
      <c r="FO3" s="202"/>
      <c r="FP3" s="202"/>
      <c r="FQ3" s="202"/>
      <c r="FR3" s="202"/>
      <c r="FS3" s="202"/>
      <c r="FT3" s="202"/>
      <c r="FU3" s="202"/>
      <c r="FV3" s="202"/>
      <c r="FW3" s="202"/>
      <c r="FX3" s="202"/>
      <c r="FY3" s="202"/>
      <c r="FZ3" s="202"/>
      <c r="GA3" s="202"/>
      <c r="GB3" s="202"/>
      <c r="GC3" s="202"/>
      <c r="GD3" s="202"/>
      <c r="GE3" s="202"/>
      <c r="GF3" s="202"/>
      <c r="GG3" s="202"/>
      <c r="GH3" s="202"/>
      <c r="GI3" s="202"/>
      <c r="GJ3" s="202"/>
      <c r="GK3" s="202"/>
      <c r="GL3" s="202"/>
      <c r="GM3" s="202"/>
      <c r="GN3" s="202"/>
      <c r="GO3" s="202"/>
      <c r="GP3" s="202"/>
      <c r="GQ3" s="202"/>
      <c r="GR3" s="202"/>
      <c r="GS3" s="202"/>
      <c r="GT3" s="202"/>
      <c r="GU3" s="202"/>
      <c r="GV3" s="202"/>
      <c r="GW3" s="202"/>
      <c r="GX3" s="202"/>
      <c r="GY3" s="202"/>
      <c r="GZ3" s="202"/>
      <c r="HA3" s="202"/>
      <c r="HB3" s="202"/>
      <c r="HC3" s="202"/>
      <c r="HD3" s="202"/>
      <c r="HE3" s="202"/>
      <c r="HF3" s="202"/>
      <c r="HG3" s="202"/>
      <c r="HH3" s="202"/>
      <c r="HI3" s="202"/>
      <c r="HJ3" s="202"/>
      <c r="HK3" s="202"/>
      <c r="HL3" s="202"/>
      <c r="HM3" s="202"/>
      <c r="HN3" s="202"/>
      <c r="HO3" s="202"/>
      <c r="HP3" s="202"/>
      <c r="HQ3" s="202"/>
      <c r="HR3" s="202"/>
      <c r="HS3" s="202"/>
      <c r="HT3" s="202"/>
      <c r="HU3" s="202"/>
      <c r="HV3" s="202"/>
      <c r="HW3" s="202"/>
      <c r="HX3" s="202"/>
      <c r="HY3" s="202"/>
      <c r="HZ3" s="202"/>
      <c r="IA3" s="202"/>
      <c r="IB3" s="202"/>
      <c r="IC3" s="202"/>
      <c r="ID3" s="202"/>
      <c r="IE3" s="202"/>
      <c r="IF3" s="202"/>
      <c r="IG3" s="202"/>
      <c r="IH3" s="202"/>
      <c r="II3" s="202"/>
      <c r="IJ3" s="202"/>
      <c r="IK3" s="202"/>
      <c r="IL3" s="202"/>
      <c r="IM3" s="202"/>
      <c r="IN3" s="202"/>
      <c r="IO3" s="202"/>
      <c r="IP3" s="202"/>
      <c r="IQ3" s="202"/>
      <c r="IR3" s="202"/>
      <c r="IS3" s="202"/>
      <c r="IT3" s="202"/>
      <c r="IU3" s="202"/>
      <c r="IV3" s="202"/>
      <c r="IW3" s="202"/>
      <c r="IX3" s="202"/>
      <c r="IY3" s="202"/>
      <c r="IZ3" s="202"/>
      <c r="JA3" s="202"/>
      <c r="JB3" s="202"/>
      <c r="JC3" s="202"/>
      <c r="JD3" s="202"/>
      <c r="JE3" s="202"/>
      <c r="JF3" s="202"/>
      <c r="JG3" s="202"/>
      <c r="JH3" s="202"/>
      <c r="JI3" s="202"/>
      <c r="JJ3" s="202"/>
      <c r="JK3" s="202"/>
      <c r="JL3" s="202"/>
      <c r="JM3" s="202"/>
      <c r="JN3" s="202"/>
      <c r="JO3" s="202"/>
      <c r="JP3" s="202"/>
      <c r="JQ3" s="202"/>
      <c r="JR3" s="202"/>
      <c r="JS3" s="202"/>
      <c r="JT3" s="202"/>
      <c r="JU3" s="202"/>
      <c r="JV3" s="202"/>
      <c r="JW3" s="202"/>
      <c r="JX3" s="202"/>
      <c r="JY3" s="202"/>
      <c r="JZ3" s="202"/>
      <c r="KA3" s="202"/>
      <c r="KB3" s="202"/>
      <c r="KC3" s="202"/>
      <c r="KD3" s="202"/>
      <c r="KE3" s="202"/>
      <c r="KF3" s="202"/>
      <c r="KG3" s="202"/>
      <c r="KH3" s="202"/>
      <c r="KI3" s="202"/>
      <c r="KJ3" s="202"/>
      <c r="KK3" s="202"/>
      <c r="KL3" s="202"/>
      <c r="KM3" s="202"/>
      <c r="KN3" s="202"/>
      <c r="KO3" s="202"/>
      <c r="KP3" s="202"/>
      <c r="KQ3" s="202"/>
      <c r="KR3" s="202"/>
      <c r="KS3" s="202"/>
      <c r="KT3" s="202"/>
      <c r="KU3" s="202"/>
      <c r="KV3" s="202"/>
      <c r="KW3" s="202"/>
      <c r="KX3" s="202"/>
      <c r="KY3" s="202"/>
      <c r="KZ3" s="202"/>
      <c r="LA3" s="202"/>
      <c r="LB3" s="202"/>
      <c r="LC3" s="202"/>
      <c r="LD3" s="202"/>
      <c r="LE3" s="202"/>
      <c r="LF3" s="202"/>
      <c r="LG3" s="202"/>
      <c r="LH3" s="202"/>
      <c r="LI3" s="202"/>
      <c r="LJ3" s="202"/>
      <c r="LK3" s="202"/>
      <c r="LL3" s="202"/>
      <c r="LM3" s="202"/>
      <c r="LN3" s="202"/>
      <c r="LO3" s="202"/>
      <c r="LP3" s="202"/>
      <c r="LQ3" s="202"/>
      <c r="LR3" s="202"/>
      <c r="LS3" s="202"/>
      <c r="LT3" s="202"/>
      <c r="LU3" s="202"/>
      <c r="LV3" s="202"/>
      <c r="LW3" s="202"/>
      <c r="LX3" s="202"/>
      <c r="LY3" s="202"/>
      <c r="LZ3" s="202"/>
      <c r="MA3" s="202"/>
      <c r="MB3" s="202"/>
      <c r="MC3" s="202"/>
      <c r="MD3" s="202"/>
      <c r="ME3" s="202"/>
      <c r="MF3" s="202"/>
      <c r="MG3" s="202"/>
      <c r="MH3" s="202"/>
      <c r="MI3" s="202"/>
      <c r="MJ3" s="202"/>
      <c r="MK3" s="202"/>
      <c r="ML3" s="202"/>
      <c r="MM3" s="202"/>
      <c r="MN3" s="202"/>
      <c r="MO3" s="202"/>
      <c r="MP3" s="202"/>
      <c r="MQ3" s="202"/>
      <c r="MR3" s="202"/>
      <c r="MS3" s="202"/>
      <c r="MT3" s="202"/>
      <c r="MU3" s="202"/>
      <c r="MV3" s="202"/>
      <c r="MW3" s="202"/>
      <c r="MX3" s="202"/>
      <c r="MY3" s="202"/>
      <c r="MZ3" s="202"/>
      <c r="NA3" s="202"/>
      <c r="NB3" s="202"/>
      <c r="NC3" s="202"/>
      <c r="ND3" s="202"/>
      <c r="NE3" s="202"/>
      <c r="NF3" s="202"/>
      <c r="NG3" s="202"/>
      <c r="NH3" s="202"/>
      <c r="NI3" s="202"/>
      <c r="NJ3" s="202"/>
      <c r="NK3" s="202"/>
      <c r="NL3" s="202"/>
      <c r="NM3" s="202"/>
      <c r="NN3" s="202"/>
      <c r="NO3" s="202"/>
      <c r="NP3" s="202"/>
      <c r="NQ3" s="202"/>
      <c r="NR3" s="202"/>
      <c r="NS3" s="202"/>
      <c r="NT3" s="202"/>
      <c r="NU3" s="202"/>
      <c r="NV3" s="202"/>
      <c r="NW3" s="202"/>
      <c r="NX3" s="202"/>
      <c r="NY3" s="202"/>
      <c r="NZ3" s="202"/>
      <c r="OA3" s="202"/>
      <c r="OB3" s="202"/>
      <c r="OC3" s="202"/>
      <c r="OD3" s="202"/>
      <c r="OE3" s="202"/>
      <c r="OF3" s="202"/>
      <c r="OG3" s="202"/>
      <c r="OH3" s="202"/>
      <c r="OI3" s="202"/>
      <c r="OJ3" s="202"/>
      <c r="OK3" s="202"/>
      <c r="OL3" s="202"/>
      <c r="OM3" s="202"/>
      <c r="ON3" s="202"/>
      <c r="OO3" s="202"/>
      <c r="OP3" s="202"/>
      <c r="OQ3" s="202"/>
      <c r="OR3" s="202"/>
      <c r="OS3" s="202"/>
      <c r="OT3" s="202"/>
      <c r="OU3" s="202"/>
      <c r="OV3" s="202"/>
      <c r="OW3" s="202"/>
      <c r="OX3" s="202"/>
      <c r="OY3" s="202"/>
      <c r="OZ3" s="202"/>
      <c r="PA3" s="202"/>
      <c r="PB3" s="202"/>
      <c r="PC3" s="202"/>
      <c r="PD3" s="202"/>
      <c r="PE3" s="202"/>
      <c r="PF3" s="202"/>
      <c r="PG3" s="202"/>
      <c r="PH3" s="202"/>
      <c r="PI3" s="202"/>
      <c r="PJ3" s="202"/>
      <c r="PK3" s="202"/>
      <c r="PL3" s="202"/>
      <c r="PM3" s="202"/>
      <c r="PN3" s="202"/>
      <c r="PO3" s="202"/>
      <c r="PP3" s="202"/>
      <c r="PQ3" s="202"/>
      <c r="PR3" s="202"/>
      <c r="PS3" s="202"/>
      <c r="PT3" s="202"/>
      <c r="PU3" s="202"/>
      <c r="PV3" s="202"/>
      <c r="PW3" s="202"/>
      <c r="PX3" s="202"/>
      <c r="PY3" s="202"/>
      <c r="PZ3" s="202"/>
      <c r="QA3" s="202"/>
      <c r="QB3" s="202"/>
      <c r="QC3" s="202"/>
      <c r="QD3" s="202"/>
      <c r="QE3" s="202"/>
      <c r="QF3" s="202"/>
      <c r="QG3" s="202"/>
      <c r="QH3" s="202"/>
      <c r="QI3" s="202"/>
      <c r="QJ3" s="202"/>
      <c r="QK3" s="202"/>
      <c r="QL3" s="202"/>
      <c r="QM3" s="202"/>
      <c r="QN3" s="202"/>
      <c r="QO3" s="202"/>
      <c r="QP3" s="202"/>
      <c r="QQ3" s="202"/>
      <c r="QR3" s="202"/>
      <c r="QS3" s="202"/>
      <c r="QT3" s="202"/>
      <c r="QU3" s="202"/>
      <c r="QV3" s="202"/>
      <c r="QW3" s="202"/>
      <c r="QX3" s="202"/>
      <c r="QY3" s="202"/>
      <c r="QZ3" s="202"/>
      <c r="RA3" s="202"/>
      <c r="RB3" s="202"/>
      <c r="RC3" s="202"/>
      <c r="RD3" s="202"/>
      <c r="RE3" s="202"/>
      <c r="RF3" s="202"/>
      <c r="RG3" s="202"/>
      <c r="RH3" s="202"/>
      <c r="RI3" s="202"/>
      <c r="RJ3" s="202"/>
      <c r="RK3" s="202"/>
      <c r="RL3" s="202"/>
      <c r="RM3" s="202"/>
      <c r="RN3" s="202"/>
      <c r="RO3" s="202"/>
      <c r="RP3" s="202"/>
      <c r="RQ3" s="202"/>
      <c r="RR3" s="202"/>
      <c r="RS3" s="202"/>
      <c r="RT3" s="202"/>
      <c r="RU3" s="202"/>
      <c r="RV3" s="202"/>
      <c r="RW3" s="202"/>
      <c r="RX3" s="202"/>
      <c r="RY3" s="202"/>
      <c r="RZ3" s="202"/>
      <c r="SA3" s="202"/>
      <c r="SB3" s="202"/>
      <c r="SC3" s="202"/>
      <c r="SD3" s="202"/>
      <c r="SE3" s="202"/>
      <c r="SF3" s="202"/>
      <c r="SG3" s="202"/>
      <c r="SH3" s="202"/>
      <c r="SI3" s="202"/>
      <c r="SJ3" s="202"/>
      <c r="SK3" s="202"/>
      <c r="SL3" s="202"/>
      <c r="SM3" s="202"/>
      <c r="SN3" s="202"/>
      <c r="SO3" s="202"/>
      <c r="SP3" s="202"/>
      <c r="SQ3" s="202"/>
      <c r="SR3" s="202"/>
      <c r="SS3" s="202"/>
      <c r="ST3" s="202"/>
      <c r="SU3" s="202"/>
      <c r="SV3" s="202"/>
      <c r="SW3" s="202"/>
      <c r="SX3" s="202"/>
      <c r="SY3" s="202"/>
      <c r="SZ3" s="202"/>
      <c r="TA3" s="202"/>
      <c r="TB3" s="202"/>
      <c r="TC3" s="202"/>
      <c r="TD3" s="202"/>
      <c r="TE3" s="202"/>
      <c r="TF3" s="202"/>
      <c r="TG3" s="202"/>
      <c r="TH3" s="202"/>
      <c r="TI3" s="202"/>
      <c r="TJ3" s="202"/>
      <c r="TK3" s="202"/>
      <c r="TL3" s="202"/>
      <c r="TM3" s="202"/>
      <c r="TN3" s="202"/>
      <c r="TO3" s="202"/>
      <c r="TP3" s="202"/>
      <c r="TQ3" s="202"/>
      <c r="TR3" s="202"/>
      <c r="TS3" s="202"/>
      <c r="TT3" s="202"/>
      <c r="TU3" s="202"/>
      <c r="TV3" s="202"/>
      <c r="TW3" s="202"/>
      <c r="TX3" s="202"/>
      <c r="TY3" s="202"/>
      <c r="TZ3" s="202"/>
      <c r="UA3" s="202"/>
      <c r="UB3" s="202"/>
      <c r="UC3" s="202"/>
      <c r="UD3" s="202"/>
      <c r="UE3" s="202"/>
      <c r="UF3" s="202"/>
      <c r="UG3" s="202"/>
      <c r="UH3" s="202"/>
      <c r="UI3" s="202"/>
      <c r="UJ3" s="202"/>
      <c r="UK3" s="202"/>
      <c r="UL3" s="202"/>
      <c r="UM3" s="202"/>
      <c r="UN3" s="202"/>
      <c r="UO3" s="202"/>
      <c r="UP3" s="202"/>
      <c r="UQ3" s="202"/>
      <c r="UR3" s="202"/>
      <c r="US3" s="202"/>
      <c r="UT3" s="202"/>
      <c r="UU3" s="202"/>
      <c r="UV3" s="202"/>
      <c r="UW3" s="202"/>
      <c r="UX3" s="202"/>
      <c r="UY3" s="202"/>
      <c r="UZ3" s="202"/>
      <c r="VA3" s="202"/>
      <c r="VB3" s="202"/>
      <c r="VC3" s="202"/>
      <c r="VD3" s="202"/>
      <c r="VE3" s="202"/>
      <c r="VF3" s="202"/>
      <c r="VG3" s="202"/>
      <c r="VH3" s="202"/>
      <c r="VI3" s="202"/>
      <c r="VJ3" s="202"/>
      <c r="VK3" s="202"/>
      <c r="VL3" s="202"/>
      <c r="VM3" s="202"/>
      <c r="VN3" s="202"/>
      <c r="VO3" s="202"/>
      <c r="VP3" s="202"/>
      <c r="VQ3" s="202"/>
      <c r="VR3" s="202"/>
      <c r="VS3" s="202"/>
      <c r="VT3" s="202"/>
      <c r="VU3" s="202"/>
      <c r="VV3" s="202"/>
      <c r="VW3" s="202"/>
      <c r="VX3" s="202"/>
      <c r="VY3" s="202"/>
      <c r="VZ3" s="202"/>
      <c r="WA3" s="202"/>
      <c r="WB3" s="202"/>
      <c r="WC3" s="202"/>
      <c r="WD3" s="202"/>
      <c r="WE3" s="202"/>
      <c r="WF3" s="202"/>
      <c r="WG3" s="202"/>
      <c r="WH3" s="202"/>
      <c r="WI3" s="202"/>
      <c r="WJ3" s="202"/>
      <c r="WK3" s="202"/>
      <c r="WL3" s="202"/>
      <c r="WM3" s="202"/>
      <c r="WN3" s="202"/>
      <c r="WO3" s="202"/>
      <c r="WP3" s="202"/>
      <c r="WQ3" s="202"/>
      <c r="WR3" s="202"/>
      <c r="WS3" s="202"/>
      <c r="WT3" s="202"/>
      <c r="WU3" s="202"/>
      <c r="WV3" s="202"/>
      <c r="WW3" s="202"/>
      <c r="WX3" s="202"/>
      <c r="WY3" s="202"/>
      <c r="WZ3" s="202"/>
      <c r="XA3" s="202"/>
      <c r="XB3" s="202"/>
      <c r="XC3" s="202"/>
      <c r="XD3" s="202"/>
      <c r="XE3" s="202"/>
      <c r="XF3" s="202"/>
      <c r="XG3" s="202"/>
      <c r="XH3" s="202"/>
      <c r="XI3" s="202"/>
      <c r="XJ3" s="202"/>
      <c r="XK3" s="202"/>
      <c r="XL3" s="202"/>
      <c r="XM3" s="202"/>
      <c r="XN3" s="202"/>
      <c r="XO3" s="202"/>
      <c r="XP3" s="202"/>
      <c r="XQ3" s="202"/>
      <c r="XR3" s="202"/>
      <c r="XS3" s="202"/>
      <c r="XT3" s="202"/>
      <c r="XU3" s="202"/>
      <c r="XV3" s="202"/>
      <c r="XW3" s="202"/>
      <c r="XX3" s="202"/>
      <c r="XY3" s="202"/>
      <c r="XZ3" s="202"/>
      <c r="YA3" s="202"/>
      <c r="YB3" s="202"/>
      <c r="YC3" s="202"/>
      <c r="YD3" s="202"/>
      <c r="YE3" s="202"/>
      <c r="YF3" s="202"/>
      <c r="YG3" s="202"/>
      <c r="YH3" s="202"/>
      <c r="YI3" s="202"/>
      <c r="YJ3" s="202"/>
      <c r="YK3" s="202"/>
      <c r="YL3" s="202"/>
      <c r="YM3" s="202"/>
      <c r="YN3" s="202"/>
      <c r="YO3" s="202"/>
      <c r="YP3" s="202"/>
      <c r="YQ3" s="202"/>
      <c r="YR3" s="202"/>
      <c r="YS3" s="202"/>
      <c r="YT3" s="202"/>
      <c r="YU3" s="202"/>
      <c r="YV3" s="202"/>
      <c r="YW3" s="202"/>
      <c r="YX3" s="202"/>
      <c r="YY3" s="202"/>
      <c r="YZ3" s="202"/>
      <c r="ZA3" s="202"/>
      <c r="ZB3" s="202"/>
      <c r="ZC3" s="202"/>
      <c r="ZD3" s="202"/>
      <c r="ZE3" s="202"/>
      <c r="ZF3" s="202"/>
      <c r="ZG3" s="202"/>
      <c r="ZH3" s="202"/>
      <c r="ZI3" s="202"/>
      <c r="ZJ3" s="202"/>
      <c r="ZK3" s="202"/>
      <c r="ZL3" s="202"/>
      <c r="ZM3" s="202"/>
      <c r="ZN3" s="202"/>
      <c r="ZO3" s="202"/>
      <c r="ZP3" s="202"/>
      <c r="ZQ3" s="202"/>
      <c r="ZR3" s="202"/>
      <c r="ZS3" s="202"/>
      <c r="ZT3" s="202"/>
      <c r="ZU3" s="202"/>
      <c r="ZV3" s="202"/>
      <c r="ZW3" s="202"/>
      <c r="ZX3" s="202"/>
      <c r="ZY3" s="202"/>
      <c r="ZZ3" s="202"/>
      <c r="AAA3" s="202"/>
      <c r="AAB3" s="202"/>
      <c r="AAC3" s="202"/>
      <c r="AAD3" s="202"/>
      <c r="AAE3" s="202"/>
      <c r="AAF3" s="202"/>
      <c r="AAG3" s="202"/>
      <c r="AAH3" s="202"/>
      <c r="AAI3" s="202"/>
      <c r="AAJ3" s="202"/>
      <c r="AAK3" s="202"/>
      <c r="AAL3" s="202"/>
      <c r="AAM3" s="202"/>
      <c r="AAN3" s="202"/>
      <c r="AAO3" s="202"/>
      <c r="AAP3" s="202"/>
      <c r="AAQ3" s="202"/>
      <c r="AAR3" s="202"/>
      <c r="AAS3" s="202"/>
      <c r="AAT3" s="202"/>
      <c r="AAU3" s="202"/>
      <c r="AAV3" s="202"/>
      <c r="AAW3" s="202"/>
      <c r="AAX3" s="202"/>
      <c r="AAY3" s="202"/>
      <c r="AAZ3" s="202"/>
      <c r="ABA3" s="202"/>
      <c r="ABB3" s="202"/>
      <c r="ABC3" s="202"/>
      <c r="ABD3" s="202"/>
      <c r="ABE3" s="202"/>
      <c r="ABF3" s="202"/>
      <c r="ABG3" s="202"/>
      <c r="ABH3" s="202"/>
      <c r="ABI3" s="202"/>
      <c r="ABJ3" s="202"/>
      <c r="ABK3" s="202"/>
      <c r="ABL3" s="202"/>
      <c r="ABM3" s="202"/>
      <c r="ABN3" s="202"/>
      <c r="ABO3" s="202"/>
      <c r="ABP3" s="202"/>
      <c r="ABQ3" s="202"/>
      <c r="ABR3" s="202"/>
      <c r="ABS3" s="202"/>
      <c r="ABT3" s="202"/>
      <c r="ABU3" s="202"/>
      <c r="ABV3" s="202"/>
      <c r="ABW3" s="202"/>
      <c r="ABX3" s="202"/>
      <c r="ABY3" s="202"/>
      <c r="ABZ3" s="202"/>
      <c r="ACA3" s="202"/>
      <c r="ACB3" s="202"/>
      <c r="ACC3" s="202"/>
      <c r="ACD3" s="202"/>
      <c r="ACE3" s="202"/>
      <c r="ACF3" s="202"/>
      <c r="ACG3" s="202"/>
      <c r="ACH3" s="202"/>
      <c r="ACI3" s="202"/>
      <c r="ACJ3" s="202"/>
      <c r="ACK3" s="202"/>
      <c r="ACL3" s="202"/>
      <c r="ACM3" s="202"/>
      <c r="ACN3" s="202"/>
      <c r="ACO3" s="202"/>
      <c r="ACP3" s="202"/>
      <c r="ACQ3" s="202"/>
      <c r="ACR3" s="202"/>
      <c r="ACS3" s="202"/>
      <c r="ACT3" s="202"/>
      <c r="ACU3" s="202"/>
      <c r="ACV3" s="202"/>
      <c r="ACW3" s="202"/>
      <c r="ACX3" s="202"/>
      <c r="ACY3" s="202"/>
      <c r="ACZ3" s="202"/>
      <c r="ADA3" s="202"/>
      <c r="ADB3" s="202"/>
      <c r="ADC3" s="202"/>
      <c r="ADD3" s="202"/>
      <c r="ADE3" s="202"/>
      <c r="ADF3" s="202"/>
      <c r="ADG3" s="202"/>
      <c r="ADH3" s="202"/>
      <c r="ADI3" s="202"/>
      <c r="ADJ3" s="202"/>
      <c r="ADK3" s="202"/>
      <c r="ADL3" s="202"/>
      <c r="ADM3" s="202"/>
      <c r="ADN3" s="202"/>
      <c r="ADO3" s="202"/>
      <c r="ADP3" s="202"/>
      <c r="ADQ3" s="202"/>
      <c r="ADR3" s="202"/>
      <c r="ADS3" s="202"/>
      <c r="ADT3" s="202"/>
      <c r="ADU3" s="202"/>
      <c r="ADV3" s="202"/>
      <c r="ADW3" s="202"/>
      <c r="ADX3" s="202"/>
      <c r="ADY3" s="202"/>
      <c r="ADZ3" s="202"/>
      <c r="AEA3" s="202"/>
      <c r="AEB3" s="202"/>
      <c r="AEC3" s="202"/>
      <c r="AED3" s="202"/>
      <c r="AEE3" s="202"/>
      <c r="AEF3" s="202"/>
      <c r="AEG3" s="202"/>
      <c r="AEH3" s="202"/>
      <c r="AEI3" s="202"/>
      <c r="AEJ3" s="202"/>
      <c r="AEK3" s="202"/>
      <c r="AEL3" s="202"/>
      <c r="AEM3" s="202"/>
      <c r="AEN3" s="202"/>
      <c r="AEO3" s="202"/>
      <c r="AEP3" s="202"/>
      <c r="AEQ3" s="202"/>
      <c r="AER3" s="202"/>
      <c r="AES3" s="202"/>
      <c r="AET3" s="202"/>
      <c r="AEU3" s="202"/>
      <c r="AEV3" s="202"/>
      <c r="AEW3" s="202"/>
      <c r="AEX3" s="202"/>
      <c r="AEY3" s="202"/>
      <c r="AEZ3" s="202"/>
      <c r="AFA3" s="202"/>
      <c r="AFB3" s="202"/>
      <c r="AFC3" s="202"/>
      <c r="AFD3" s="202"/>
      <c r="AFE3" s="202"/>
      <c r="AFF3" s="202"/>
      <c r="AFG3" s="202"/>
      <c r="AFH3" s="202"/>
      <c r="AFI3" s="202"/>
      <c r="AFJ3" s="202"/>
      <c r="AFK3" s="202"/>
      <c r="AFL3" s="202"/>
      <c r="AFM3" s="202"/>
      <c r="AFN3" s="202"/>
      <c r="AFO3" s="202"/>
      <c r="AFP3" s="202"/>
      <c r="AFQ3" s="202"/>
      <c r="AFR3" s="202"/>
      <c r="AFS3" s="202"/>
      <c r="AFT3" s="202"/>
      <c r="AFU3" s="202"/>
      <c r="AFV3" s="202"/>
      <c r="AFW3" s="202"/>
      <c r="AFX3" s="202"/>
      <c r="AFY3" s="202"/>
      <c r="AFZ3" s="202"/>
      <c r="AGA3" s="202"/>
      <c r="AGB3" s="202"/>
      <c r="AGC3" s="202"/>
      <c r="AGD3" s="202"/>
      <c r="AGE3" s="202"/>
      <c r="AGF3" s="202"/>
      <c r="AGG3" s="202"/>
      <c r="AGH3" s="202"/>
      <c r="AGI3" s="202"/>
      <c r="AGJ3" s="202"/>
      <c r="AGK3" s="202"/>
      <c r="AGL3" s="202"/>
      <c r="AGM3" s="202"/>
      <c r="AGN3" s="202"/>
      <c r="AGO3" s="202"/>
      <c r="AGP3" s="202"/>
      <c r="AGQ3" s="202"/>
      <c r="AGR3" s="202"/>
      <c r="AGS3" s="202"/>
      <c r="AGT3" s="202"/>
      <c r="AGU3" s="202"/>
      <c r="AGV3" s="202"/>
      <c r="AGW3" s="202"/>
      <c r="AGX3" s="202"/>
      <c r="AGY3" s="202"/>
      <c r="AGZ3" s="202"/>
      <c r="AHA3" s="202"/>
      <c r="AHB3" s="202"/>
      <c r="AHC3" s="202"/>
      <c r="AHD3" s="202"/>
      <c r="AHE3" s="202"/>
      <c r="AHF3" s="202"/>
      <c r="AHG3" s="202"/>
      <c r="AHH3" s="202"/>
      <c r="AHI3" s="202"/>
      <c r="AHJ3" s="202"/>
      <c r="AHK3" s="202"/>
      <c r="AHL3" s="202"/>
      <c r="AHM3" s="202"/>
      <c r="AHN3" s="202"/>
      <c r="AHO3" s="202"/>
      <c r="AHP3" s="202"/>
      <c r="AHQ3" s="202"/>
      <c r="AHR3" s="202"/>
      <c r="AHS3" s="202"/>
      <c r="AHT3" s="202"/>
      <c r="AHU3" s="202"/>
      <c r="AHV3" s="202"/>
      <c r="AHW3" s="202"/>
      <c r="AHX3" s="202"/>
      <c r="AHY3" s="202"/>
      <c r="AHZ3" s="202"/>
      <c r="AIA3" s="202"/>
      <c r="AIB3" s="202"/>
      <c r="AIC3" s="202"/>
      <c r="AID3" s="202"/>
      <c r="AIE3" s="202"/>
      <c r="AIF3" s="202"/>
      <c r="AIG3" s="202"/>
      <c r="AIH3" s="202"/>
      <c r="AII3" s="202"/>
      <c r="AIJ3" s="202"/>
      <c r="AIK3" s="202"/>
      <c r="AIL3" s="202"/>
      <c r="AIM3" s="202"/>
      <c r="AIN3" s="202"/>
      <c r="AIO3" s="202"/>
      <c r="AIP3" s="202"/>
      <c r="AIQ3" s="202"/>
      <c r="AIR3" s="202"/>
      <c r="AIS3" s="202"/>
      <c r="AIT3" s="202"/>
      <c r="AIU3" s="202"/>
      <c r="AIV3" s="202"/>
      <c r="AIW3" s="202"/>
      <c r="AIX3" s="202"/>
      <c r="AIY3" s="202"/>
      <c r="AIZ3" s="202"/>
      <c r="AJA3" s="202"/>
      <c r="AJB3" s="202"/>
      <c r="AJC3" s="202"/>
      <c r="AJD3" s="202"/>
      <c r="AJE3" s="202"/>
      <c r="AJF3" s="202"/>
      <c r="AJG3" s="202"/>
      <c r="AJH3" s="202"/>
      <c r="AJI3" s="202"/>
      <c r="AJJ3" s="202"/>
      <c r="AJK3" s="202"/>
      <c r="AJL3" s="202"/>
      <c r="AJM3" s="202"/>
      <c r="AJN3" s="202"/>
      <c r="AJO3" s="202"/>
      <c r="AJP3" s="202"/>
      <c r="AJQ3" s="202"/>
      <c r="AJR3" s="202"/>
      <c r="AJS3" s="202"/>
      <c r="AJT3" s="202"/>
      <c r="AJU3" s="202"/>
      <c r="AJV3" s="202"/>
      <c r="AJW3" s="202"/>
      <c r="AJX3" s="202"/>
      <c r="AJY3" s="202"/>
      <c r="AJZ3" s="202"/>
      <c r="AKA3" s="202"/>
      <c r="AKB3" s="202"/>
      <c r="AKC3" s="202"/>
      <c r="AKD3" s="202"/>
      <c r="AKE3" s="202"/>
      <c r="AKF3" s="202"/>
      <c r="AKG3" s="202"/>
      <c r="AKH3" s="202"/>
      <c r="AKI3" s="202"/>
      <c r="AKJ3" s="202"/>
      <c r="AKK3" s="202"/>
      <c r="AKL3" s="202"/>
      <c r="AKM3" s="202"/>
      <c r="AKN3" s="202"/>
      <c r="AKO3" s="202"/>
      <c r="AKP3" s="202"/>
      <c r="AKQ3" s="202"/>
      <c r="AKR3" s="202"/>
      <c r="AKS3" s="202"/>
      <c r="AKT3" s="202"/>
      <c r="AKU3" s="202"/>
      <c r="AKV3" s="202"/>
      <c r="AKW3" s="202"/>
      <c r="AKX3" s="202"/>
      <c r="AKY3" s="202"/>
      <c r="AKZ3" s="202"/>
      <c r="ALA3" s="202"/>
      <c r="ALB3" s="202"/>
      <c r="ALC3" s="202"/>
      <c r="ALD3" s="202"/>
      <c r="ALE3" s="202"/>
      <c r="ALF3" s="202"/>
      <c r="ALG3" s="202"/>
      <c r="ALH3" s="202"/>
      <c r="ALI3" s="202"/>
      <c r="ALJ3" s="202"/>
      <c r="ALK3" s="202"/>
      <c r="ALL3" s="202"/>
      <c r="ALM3" s="202"/>
      <c r="ALN3" s="202"/>
      <c r="ALO3" s="202"/>
      <c r="ALP3" s="202"/>
      <c r="ALQ3" s="202"/>
      <c r="ALR3" s="202"/>
      <c r="ALS3" s="202"/>
      <c r="ALT3" s="202"/>
      <c r="ALU3" s="202"/>
      <c r="ALV3" s="202"/>
      <c r="ALW3" s="202"/>
      <c r="ALX3" s="202"/>
      <c r="ALY3" s="202"/>
      <c r="ALZ3" s="202"/>
      <c r="AMA3" s="202"/>
      <c r="AMB3" s="202"/>
      <c r="AMC3" s="202"/>
      <c r="AMD3" s="202"/>
      <c r="AME3" s="202"/>
      <c r="AMF3" s="202"/>
      <c r="AMG3" s="202"/>
      <c r="AMH3" s="202"/>
      <c r="AMI3" s="202"/>
      <c r="AMJ3" s="202"/>
      <c r="AMK3" s="202"/>
      <c r="AML3" s="202"/>
      <c r="AMM3" s="202"/>
      <c r="AMN3" s="202"/>
      <c r="AMO3" s="202"/>
      <c r="AMP3" s="202"/>
      <c r="AMQ3" s="202"/>
      <c r="AMR3" s="202"/>
      <c r="AMS3" s="202"/>
      <c r="AMT3" s="202"/>
      <c r="AMU3" s="202"/>
      <c r="AMV3" s="202"/>
      <c r="AMW3" s="202"/>
      <c r="AMX3" s="202"/>
      <c r="AMY3" s="202"/>
      <c r="AMZ3" s="202"/>
      <c r="ANA3" s="202"/>
      <c r="ANB3" s="202"/>
      <c r="ANC3" s="202"/>
      <c r="AND3" s="202"/>
      <c r="ANE3" s="202"/>
      <c r="ANF3" s="202"/>
      <c r="ANG3" s="202"/>
      <c r="ANH3" s="202"/>
      <c r="ANI3" s="202"/>
      <c r="ANJ3" s="202"/>
      <c r="ANK3" s="202"/>
      <c r="ANL3" s="202"/>
      <c r="ANM3" s="202"/>
      <c r="ANN3" s="202"/>
      <c r="ANO3" s="202"/>
      <c r="ANP3" s="202"/>
      <c r="ANQ3" s="202"/>
      <c r="ANR3" s="202"/>
      <c r="ANS3" s="202"/>
      <c r="ANT3" s="202"/>
      <c r="ANU3" s="202"/>
      <c r="ANV3" s="202"/>
      <c r="ANW3" s="202"/>
      <c r="ANX3" s="202"/>
      <c r="ANY3" s="202"/>
      <c r="ANZ3" s="202"/>
      <c r="AOA3" s="202"/>
      <c r="AOB3" s="202"/>
      <c r="AOC3" s="202"/>
      <c r="AOD3" s="202"/>
      <c r="AOE3" s="202"/>
      <c r="AOF3" s="202"/>
      <c r="AOG3" s="202"/>
      <c r="AOH3" s="202"/>
      <c r="AOI3" s="202"/>
      <c r="AOJ3" s="202"/>
      <c r="AOK3" s="202"/>
      <c r="AOL3" s="202"/>
      <c r="AOM3" s="202"/>
      <c r="AON3" s="202"/>
      <c r="AOO3" s="202"/>
      <c r="AOP3" s="202"/>
      <c r="AOQ3" s="202"/>
      <c r="AOR3" s="202"/>
      <c r="AOS3" s="202"/>
      <c r="AOT3" s="202"/>
      <c r="AOU3" s="202"/>
      <c r="AOV3" s="202"/>
      <c r="AOW3" s="202"/>
      <c r="AOX3" s="202"/>
      <c r="AOY3" s="202"/>
      <c r="AOZ3" s="202"/>
      <c r="APA3" s="202"/>
      <c r="APB3" s="202"/>
      <c r="APC3" s="202"/>
      <c r="APD3" s="202"/>
      <c r="APE3" s="202"/>
      <c r="APF3" s="202"/>
      <c r="APG3" s="202"/>
      <c r="APH3" s="202"/>
      <c r="API3" s="202"/>
      <c r="APJ3" s="202"/>
      <c r="APK3" s="202"/>
      <c r="APL3" s="202"/>
      <c r="APM3" s="202"/>
      <c r="APN3" s="202"/>
      <c r="APO3" s="202"/>
      <c r="APP3" s="202"/>
      <c r="APQ3" s="202"/>
      <c r="APR3" s="202"/>
      <c r="APS3" s="202"/>
      <c r="APT3" s="202"/>
      <c r="APU3" s="202"/>
      <c r="APV3" s="202"/>
      <c r="APW3" s="202"/>
      <c r="APX3" s="202"/>
      <c r="APY3" s="202"/>
      <c r="APZ3" s="202"/>
      <c r="AQA3" s="202"/>
      <c r="AQB3" s="202"/>
      <c r="AQC3" s="202"/>
      <c r="AQD3" s="202"/>
      <c r="AQE3" s="202"/>
      <c r="AQF3" s="202"/>
      <c r="AQG3" s="202"/>
      <c r="AQH3" s="202"/>
      <c r="AQI3" s="202"/>
      <c r="AQJ3" s="202"/>
      <c r="AQK3" s="202"/>
      <c r="AQL3" s="202"/>
      <c r="AQM3" s="202"/>
      <c r="AQN3" s="202"/>
      <c r="AQO3" s="202"/>
      <c r="AQP3" s="202"/>
      <c r="AQQ3" s="202"/>
      <c r="AQR3" s="202"/>
      <c r="AQS3" s="202"/>
      <c r="AQT3" s="202"/>
      <c r="AQU3" s="202"/>
      <c r="AQV3" s="202"/>
      <c r="AQW3" s="202"/>
      <c r="AQX3" s="202"/>
      <c r="AQY3" s="202"/>
      <c r="AQZ3" s="202"/>
      <c r="ARA3" s="202"/>
      <c r="ARB3" s="202"/>
      <c r="ARC3" s="202"/>
      <c r="ARD3" s="202"/>
      <c r="ARE3" s="202"/>
      <c r="ARF3" s="202"/>
      <c r="ARG3" s="202"/>
      <c r="ARH3" s="202"/>
      <c r="ARI3" s="202"/>
      <c r="ARJ3" s="202"/>
      <c r="ARK3" s="202"/>
      <c r="ARL3" s="202"/>
      <c r="ARM3" s="202"/>
      <c r="ARN3" s="202"/>
      <c r="ARO3" s="202"/>
      <c r="ARP3" s="202"/>
      <c r="ARQ3" s="202"/>
      <c r="ARR3" s="202"/>
      <c r="ARS3" s="202"/>
      <c r="ART3" s="202"/>
      <c r="ARU3" s="202"/>
      <c r="ARV3" s="202"/>
      <c r="ARW3" s="202"/>
      <c r="ARX3" s="202"/>
      <c r="ARY3" s="202"/>
      <c r="ARZ3" s="202"/>
      <c r="ASA3" s="202"/>
      <c r="ASB3" s="202"/>
      <c r="ASC3" s="202"/>
      <c r="ASD3" s="202"/>
      <c r="ASE3" s="202"/>
      <c r="ASF3" s="202"/>
      <c r="ASG3" s="202"/>
      <c r="ASH3" s="202"/>
      <c r="ASI3" s="202"/>
      <c r="ASJ3" s="202"/>
      <c r="ASK3" s="202"/>
      <c r="ASL3" s="202"/>
      <c r="ASM3" s="202"/>
      <c r="ASN3" s="202"/>
      <c r="ASO3" s="202"/>
      <c r="ASP3" s="202"/>
      <c r="ASQ3" s="202"/>
      <c r="ASR3" s="202"/>
      <c r="ASS3" s="202"/>
      <c r="AST3" s="202"/>
      <c r="ASU3" s="202"/>
      <c r="ASV3" s="202"/>
      <c r="ASW3" s="202"/>
      <c r="ASX3" s="202"/>
      <c r="ASY3" s="202"/>
      <c r="ASZ3" s="202"/>
      <c r="ATA3" s="202"/>
      <c r="ATB3" s="202"/>
      <c r="ATC3" s="202"/>
      <c r="ATD3" s="202"/>
      <c r="ATE3" s="202"/>
      <c r="ATF3" s="202"/>
      <c r="ATG3" s="202"/>
      <c r="ATH3" s="202"/>
      <c r="ATI3" s="202"/>
      <c r="ATJ3" s="202"/>
      <c r="ATK3" s="202"/>
      <c r="ATL3" s="202"/>
      <c r="ATM3" s="202"/>
      <c r="ATN3" s="202"/>
      <c r="ATO3" s="202"/>
      <c r="ATP3" s="202"/>
      <c r="ATQ3" s="202"/>
      <c r="ATR3" s="202"/>
      <c r="ATS3" s="202"/>
      <c r="ATT3" s="202"/>
      <c r="ATU3" s="202"/>
      <c r="ATV3" s="202"/>
      <c r="ATW3" s="202"/>
      <c r="ATX3" s="202"/>
      <c r="ATY3" s="202"/>
      <c r="ATZ3" s="202"/>
      <c r="AUA3" s="202"/>
      <c r="AUB3" s="202"/>
      <c r="AUC3" s="202"/>
      <c r="AUD3" s="202"/>
      <c r="AUE3" s="202"/>
      <c r="AUF3" s="202"/>
      <c r="AUG3" s="202"/>
      <c r="AUH3" s="202"/>
      <c r="AUI3" s="202"/>
      <c r="AUJ3" s="202"/>
      <c r="AUK3" s="202"/>
      <c r="AUL3" s="202"/>
      <c r="AUM3" s="202"/>
      <c r="AUN3" s="202"/>
      <c r="AUO3" s="202"/>
      <c r="AUP3" s="202"/>
      <c r="AUQ3" s="202"/>
      <c r="AUR3" s="202"/>
      <c r="AUS3" s="202"/>
      <c r="AUT3" s="202"/>
      <c r="AUU3" s="202"/>
      <c r="AUV3" s="202"/>
      <c r="AUW3" s="202"/>
      <c r="AUX3" s="202"/>
      <c r="AUY3" s="202"/>
      <c r="AUZ3" s="202"/>
      <c r="AVA3" s="202"/>
      <c r="AVB3" s="202"/>
      <c r="AVC3" s="202"/>
      <c r="AVD3" s="202"/>
      <c r="AVE3" s="202"/>
      <c r="AVF3" s="202"/>
      <c r="AVG3" s="202"/>
      <c r="AVH3" s="202"/>
      <c r="AVI3" s="202"/>
      <c r="AVJ3" s="202"/>
      <c r="AVK3" s="202"/>
      <c r="AVL3" s="202"/>
      <c r="AVM3" s="202"/>
      <c r="AVN3" s="202"/>
      <c r="AVO3" s="202"/>
      <c r="AVP3" s="202"/>
      <c r="AVQ3" s="202"/>
      <c r="AVR3" s="202"/>
      <c r="AVS3" s="202"/>
      <c r="AVT3" s="202"/>
      <c r="AVU3" s="202"/>
      <c r="AVV3" s="202"/>
      <c r="AVW3" s="202"/>
      <c r="AVX3" s="202"/>
      <c r="AVY3" s="202"/>
      <c r="AVZ3" s="202"/>
      <c r="AWA3" s="202"/>
      <c r="AWB3" s="202"/>
      <c r="AWC3" s="202"/>
      <c r="AWD3" s="202"/>
      <c r="AWE3" s="202"/>
      <c r="AWF3" s="202"/>
      <c r="AWG3" s="202"/>
      <c r="AWH3" s="202"/>
      <c r="AWI3" s="202"/>
      <c r="AWJ3" s="202"/>
      <c r="AWK3" s="202"/>
      <c r="AWL3" s="202"/>
      <c r="AWM3" s="202"/>
      <c r="AWN3" s="202"/>
      <c r="AWO3" s="202"/>
      <c r="AWP3" s="202"/>
      <c r="AWQ3" s="202"/>
      <c r="AWR3" s="202"/>
      <c r="AWS3" s="202"/>
      <c r="AWT3" s="202"/>
      <c r="AWU3" s="202"/>
      <c r="AWV3" s="202"/>
      <c r="AWW3" s="202"/>
      <c r="AWX3" s="202"/>
      <c r="AWY3" s="202"/>
      <c r="AWZ3" s="202"/>
      <c r="AXA3" s="202"/>
      <c r="AXB3" s="202"/>
      <c r="AXC3" s="202"/>
      <c r="AXD3" s="202"/>
      <c r="AXE3" s="202"/>
      <c r="AXF3" s="202"/>
      <c r="AXG3" s="202"/>
      <c r="AXH3" s="202"/>
      <c r="AXI3" s="202"/>
      <c r="AXJ3" s="202"/>
      <c r="AXK3" s="202"/>
      <c r="AXL3" s="202"/>
      <c r="AXM3" s="202"/>
      <c r="AXN3" s="202"/>
      <c r="AXO3" s="202"/>
      <c r="AXP3" s="202"/>
      <c r="AXQ3" s="202"/>
      <c r="AXR3" s="202"/>
      <c r="AXS3" s="202"/>
      <c r="AXT3" s="202"/>
      <c r="AXU3" s="202"/>
      <c r="AXV3" s="202"/>
      <c r="AXW3" s="202"/>
      <c r="AXX3" s="202"/>
      <c r="AXY3" s="202"/>
      <c r="AXZ3" s="202"/>
      <c r="AYA3" s="202"/>
      <c r="AYB3" s="202"/>
      <c r="AYC3" s="202"/>
      <c r="AYD3" s="202"/>
      <c r="AYE3" s="202"/>
      <c r="AYF3" s="202"/>
      <c r="AYG3" s="202"/>
      <c r="AYH3" s="202"/>
      <c r="AYI3" s="202"/>
      <c r="AYJ3" s="202"/>
      <c r="AYK3" s="202"/>
      <c r="AYL3" s="202"/>
      <c r="AYM3" s="202"/>
      <c r="AYN3" s="202"/>
      <c r="AYO3" s="202"/>
      <c r="AYP3" s="202"/>
      <c r="AYQ3" s="202"/>
      <c r="AYR3" s="202"/>
      <c r="AYS3" s="202"/>
      <c r="AYT3" s="202"/>
      <c r="AYU3" s="202"/>
      <c r="AYV3" s="202"/>
      <c r="AYW3" s="202"/>
      <c r="AYX3" s="202"/>
      <c r="AYY3" s="202"/>
      <c r="AYZ3" s="202"/>
      <c r="AZA3" s="202"/>
      <c r="AZB3" s="202"/>
      <c r="AZC3" s="202"/>
      <c r="AZD3" s="202"/>
      <c r="AZE3" s="202"/>
      <c r="AZF3" s="202"/>
      <c r="AZG3" s="202"/>
      <c r="AZH3" s="202"/>
      <c r="AZI3" s="202"/>
      <c r="AZJ3" s="202"/>
      <c r="AZK3" s="202"/>
      <c r="AZL3" s="202"/>
      <c r="AZM3" s="202"/>
      <c r="AZN3" s="202"/>
      <c r="AZO3" s="202"/>
      <c r="AZP3" s="202"/>
      <c r="AZQ3" s="202"/>
      <c r="AZR3" s="202"/>
      <c r="AZS3" s="202"/>
      <c r="AZT3" s="202"/>
      <c r="AZU3" s="202"/>
      <c r="AZV3" s="202"/>
      <c r="AZW3" s="202"/>
      <c r="AZX3" s="202"/>
      <c r="AZY3" s="202"/>
      <c r="AZZ3" s="202"/>
      <c r="BAA3" s="202"/>
      <c r="BAB3" s="202"/>
      <c r="BAC3" s="202"/>
      <c r="BAD3" s="202"/>
      <c r="BAE3" s="202"/>
      <c r="BAF3" s="202"/>
      <c r="BAG3" s="202"/>
      <c r="BAH3" s="202"/>
      <c r="BAI3" s="202"/>
      <c r="BAJ3" s="202"/>
      <c r="BAK3" s="202"/>
      <c r="BAL3" s="202"/>
      <c r="BAM3" s="202"/>
      <c r="BAN3" s="202"/>
      <c r="BAO3" s="202"/>
      <c r="BAP3" s="202"/>
      <c r="BAQ3" s="202"/>
      <c r="BAR3" s="202"/>
      <c r="BAS3" s="202"/>
      <c r="BAT3" s="202"/>
      <c r="BAU3" s="202"/>
      <c r="BAV3" s="202"/>
      <c r="BAW3" s="202"/>
      <c r="BAX3" s="202"/>
      <c r="BAY3" s="202"/>
      <c r="BAZ3" s="202"/>
      <c r="BBA3" s="202"/>
      <c r="BBB3" s="202"/>
      <c r="BBC3" s="202"/>
      <c r="BBD3" s="202"/>
      <c r="BBE3" s="202"/>
      <c r="BBF3" s="202"/>
      <c r="BBG3" s="202"/>
      <c r="BBH3" s="202"/>
      <c r="BBI3" s="202"/>
      <c r="BBJ3" s="202"/>
      <c r="BBK3" s="202"/>
      <c r="BBL3" s="202"/>
      <c r="BBM3" s="202"/>
      <c r="BBN3" s="202"/>
      <c r="BBO3" s="202"/>
      <c r="BBP3" s="202"/>
      <c r="BBQ3" s="202"/>
      <c r="BBR3" s="202"/>
      <c r="BBS3" s="202"/>
      <c r="BBT3" s="202"/>
      <c r="BBU3" s="202"/>
      <c r="BBV3" s="202"/>
      <c r="BBW3" s="202"/>
      <c r="BBX3" s="202"/>
      <c r="BBY3" s="202"/>
      <c r="BBZ3" s="202"/>
      <c r="BCA3" s="202"/>
      <c r="BCB3" s="202"/>
      <c r="BCC3" s="202"/>
      <c r="BCD3" s="202"/>
      <c r="BCE3" s="202"/>
      <c r="BCF3" s="202"/>
      <c r="BCG3" s="202"/>
      <c r="BCH3" s="202"/>
      <c r="BCI3" s="202"/>
      <c r="BCJ3" s="202"/>
      <c r="BCK3" s="202"/>
      <c r="BCL3" s="202"/>
      <c r="BCM3" s="202"/>
      <c r="BCN3" s="202"/>
      <c r="BCO3" s="202"/>
      <c r="BCP3" s="202"/>
      <c r="BCQ3" s="202"/>
      <c r="BCR3" s="202"/>
      <c r="BCS3" s="202"/>
      <c r="BCT3" s="202"/>
      <c r="BCU3" s="202"/>
      <c r="BCV3" s="202"/>
      <c r="BCW3" s="202"/>
      <c r="BCX3" s="202"/>
      <c r="BCY3" s="202"/>
      <c r="BCZ3" s="202"/>
      <c r="BDA3" s="202"/>
      <c r="BDB3" s="202"/>
      <c r="BDC3" s="202"/>
      <c r="BDD3" s="202"/>
      <c r="BDE3" s="202"/>
      <c r="BDF3" s="202"/>
      <c r="BDG3" s="202"/>
      <c r="BDH3" s="202"/>
      <c r="BDI3" s="202"/>
      <c r="BDJ3" s="202"/>
      <c r="BDK3" s="202"/>
      <c r="BDL3" s="202"/>
      <c r="BDM3" s="202"/>
      <c r="BDN3" s="202"/>
      <c r="BDO3" s="202"/>
      <c r="BDP3" s="202"/>
      <c r="BDQ3" s="202"/>
      <c r="BDR3" s="202"/>
      <c r="BDS3" s="202"/>
      <c r="BDT3" s="202"/>
      <c r="BDU3" s="202"/>
      <c r="BDV3" s="202"/>
      <c r="BDW3" s="202"/>
      <c r="BDX3" s="202"/>
      <c r="BDY3" s="202"/>
      <c r="BDZ3" s="202"/>
      <c r="BEA3" s="202"/>
      <c r="BEB3" s="202"/>
      <c r="BEC3" s="202"/>
      <c r="BED3" s="202"/>
      <c r="BEE3" s="202"/>
      <c r="BEF3" s="202"/>
      <c r="BEG3" s="202"/>
      <c r="BEH3" s="202"/>
      <c r="BEI3" s="202"/>
      <c r="BEJ3" s="202"/>
      <c r="BEK3" s="202"/>
      <c r="BEL3" s="202"/>
      <c r="BEM3" s="202"/>
      <c r="BEN3" s="202"/>
      <c r="BEO3" s="202"/>
      <c r="BEP3" s="202"/>
      <c r="BEQ3" s="202"/>
      <c r="BER3" s="202"/>
      <c r="BES3" s="202"/>
      <c r="BET3" s="202"/>
      <c r="BEU3" s="202"/>
      <c r="BEV3" s="202"/>
      <c r="BEW3" s="202"/>
      <c r="BEX3" s="202"/>
      <c r="BEY3" s="202"/>
      <c r="BEZ3" s="202"/>
      <c r="BFA3" s="202"/>
      <c r="BFB3" s="202"/>
      <c r="BFC3" s="202"/>
      <c r="BFD3" s="202"/>
      <c r="BFE3" s="202"/>
      <c r="BFF3" s="202"/>
      <c r="BFG3" s="202"/>
      <c r="BFH3" s="202"/>
      <c r="BFI3" s="202"/>
      <c r="BFJ3" s="202"/>
      <c r="BFK3" s="202"/>
      <c r="BFL3" s="202"/>
      <c r="BFM3" s="202"/>
      <c r="BFN3" s="202"/>
      <c r="BFO3" s="202"/>
      <c r="BFP3" s="202"/>
      <c r="BFQ3" s="202"/>
      <c r="BFR3" s="202"/>
      <c r="BFS3" s="202"/>
      <c r="BFT3" s="202"/>
      <c r="BFU3" s="202"/>
      <c r="BFV3" s="202"/>
      <c r="BFW3" s="202"/>
      <c r="BFX3" s="202"/>
      <c r="BFY3" s="202"/>
      <c r="BFZ3" s="202"/>
      <c r="BGA3" s="202"/>
      <c r="BGB3" s="202"/>
      <c r="BGC3" s="202"/>
      <c r="BGD3" s="202"/>
      <c r="BGE3" s="202"/>
      <c r="BGF3" s="202"/>
      <c r="BGG3" s="202"/>
      <c r="BGH3" s="202"/>
      <c r="BGI3" s="202"/>
      <c r="BGJ3" s="202"/>
      <c r="BGK3" s="202"/>
      <c r="BGL3" s="202"/>
      <c r="BGM3" s="202"/>
      <c r="BGN3" s="202"/>
      <c r="BGO3" s="202"/>
      <c r="BGP3" s="202"/>
      <c r="BGQ3" s="202"/>
      <c r="BGR3" s="202"/>
      <c r="BGS3" s="202"/>
      <c r="BGT3" s="202"/>
      <c r="BGU3" s="202"/>
      <c r="BGV3" s="202"/>
      <c r="BGW3" s="202"/>
      <c r="BGX3" s="202"/>
      <c r="BGY3" s="202"/>
      <c r="BGZ3" s="202"/>
      <c r="BHA3" s="202"/>
      <c r="BHB3" s="202"/>
      <c r="BHC3" s="202"/>
      <c r="BHD3" s="202"/>
      <c r="BHE3" s="202"/>
      <c r="BHF3" s="202"/>
      <c r="BHG3" s="202"/>
      <c r="BHH3" s="202"/>
      <c r="BHI3" s="202"/>
      <c r="BHJ3" s="202"/>
      <c r="BHK3" s="202"/>
      <c r="BHL3" s="202"/>
      <c r="BHM3" s="202"/>
      <c r="BHN3" s="202"/>
      <c r="BHO3" s="202"/>
      <c r="BHP3" s="202"/>
      <c r="BHQ3" s="202"/>
      <c r="BHR3" s="202"/>
      <c r="BHS3" s="202"/>
      <c r="BHT3" s="202"/>
      <c r="BHU3" s="202"/>
      <c r="BHV3" s="202"/>
      <c r="BHW3" s="202"/>
      <c r="BHX3" s="202"/>
      <c r="BHY3" s="202"/>
      <c r="BHZ3" s="202"/>
      <c r="BIA3" s="202"/>
      <c r="BIB3" s="202"/>
      <c r="BIC3" s="202"/>
      <c r="BID3" s="202"/>
      <c r="BIE3" s="202"/>
      <c r="BIF3" s="202"/>
      <c r="BIG3" s="202"/>
      <c r="BIH3" s="202"/>
      <c r="BII3" s="202"/>
      <c r="BIJ3" s="202"/>
      <c r="BIK3" s="202"/>
      <c r="BIL3" s="202"/>
      <c r="BIM3" s="202"/>
      <c r="BIN3" s="202"/>
      <c r="BIO3" s="202"/>
      <c r="BIP3" s="202"/>
      <c r="BIQ3" s="202"/>
      <c r="BIR3" s="202"/>
      <c r="BIS3" s="202"/>
      <c r="BIT3" s="202"/>
      <c r="BIU3" s="202"/>
      <c r="BIV3" s="202"/>
      <c r="BIW3" s="202"/>
      <c r="BIX3" s="202"/>
      <c r="BIY3" s="202"/>
      <c r="BIZ3" s="202"/>
      <c r="BJA3" s="202"/>
      <c r="BJB3" s="202"/>
      <c r="BJC3" s="202"/>
      <c r="BJD3" s="202"/>
      <c r="BJE3" s="202"/>
      <c r="BJF3" s="202"/>
      <c r="BJG3" s="202"/>
      <c r="BJH3" s="202"/>
      <c r="BJI3" s="202"/>
      <c r="BJJ3" s="202"/>
      <c r="BJK3" s="202"/>
      <c r="BJL3" s="202"/>
      <c r="BJM3" s="202"/>
      <c r="BJN3" s="202"/>
      <c r="BJO3" s="202"/>
      <c r="BJP3" s="202"/>
      <c r="BJQ3" s="202"/>
      <c r="BJR3" s="202"/>
      <c r="BJS3" s="202"/>
      <c r="BJT3" s="202"/>
      <c r="BJU3" s="202"/>
      <c r="BJV3" s="202"/>
      <c r="BJW3" s="202"/>
      <c r="BJX3" s="202"/>
      <c r="BJY3" s="202"/>
      <c r="BJZ3" s="202"/>
      <c r="BKA3" s="202"/>
      <c r="BKB3" s="202"/>
      <c r="BKC3" s="202"/>
      <c r="BKD3" s="202"/>
      <c r="BKE3" s="202"/>
      <c r="BKF3" s="202"/>
      <c r="BKG3" s="202"/>
      <c r="BKH3" s="202"/>
      <c r="BKI3" s="202"/>
      <c r="BKJ3" s="202"/>
      <c r="BKK3" s="202"/>
      <c r="BKL3" s="202"/>
      <c r="BKM3" s="202"/>
      <c r="BKN3" s="202"/>
      <c r="BKO3" s="202"/>
      <c r="BKP3" s="202"/>
      <c r="BKQ3" s="202"/>
      <c r="BKR3" s="202"/>
      <c r="BKS3" s="202"/>
      <c r="BKT3" s="202"/>
      <c r="BKU3" s="202"/>
      <c r="BKV3" s="202"/>
      <c r="BKW3" s="202"/>
      <c r="BKX3" s="202"/>
      <c r="BKY3" s="202"/>
      <c r="BKZ3" s="202"/>
      <c r="BLA3" s="202"/>
      <c r="BLB3" s="202"/>
      <c r="BLC3" s="202"/>
      <c r="BLD3" s="202"/>
      <c r="BLE3" s="202"/>
      <c r="BLF3" s="202"/>
      <c r="BLG3" s="202"/>
      <c r="BLH3" s="202"/>
      <c r="BLI3" s="202"/>
      <c r="BLJ3" s="202"/>
      <c r="BLK3" s="202"/>
      <c r="BLL3" s="202"/>
      <c r="BLM3" s="202"/>
      <c r="BLN3" s="202"/>
      <c r="BLO3" s="202"/>
      <c r="BLP3" s="202"/>
      <c r="BLQ3" s="202"/>
      <c r="BLR3" s="202"/>
      <c r="BLS3" s="202"/>
      <c r="BLT3" s="202"/>
      <c r="BLU3" s="202"/>
      <c r="BLV3" s="202"/>
      <c r="BLW3" s="202"/>
      <c r="BLX3" s="202"/>
      <c r="BLY3" s="202"/>
      <c r="BLZ3" s="202"/>
      <c r="BMA3" s="202"/>
      <c r="BMB3" s="202"/>
      <c r="BMC3" s="202"/>
      <c r="BMD3" s="202"/>
      <c r="BME3" s="202"/>
      <c r="BMF3" s="202"/>
      <c r="BMG3" s="202"/>
      <c r="BMH3" s="202"/>
      <c r="BMI3" s="202"/>
      <c r="BMJ3" s="202"/>
      <c r="BMK3" s="202"/>
      <c r="BML3" s="202"/>
      <c r="BMM3" s="202"/>
      <c r="BMN3" s="202"/>
      <c r="BMO3" s="202"/>
      <c r="BMP3" s="202"/>
      <c r="BMQ3" s="202"/>
      <c r="BMR3" s="202"/>
      <c r="BMS3" s="202"/>
      <c r="BMT3" s="202"/>
      <c r="BMU3" s="202"/>
      <c r="BMV3" s="202"/>
      <c r="BMW3" s="202"/>
      <c r="BMX3" s="202"/>
      <c r="BMY3" s="202"/>
      <c r="BMZ3" s="202"/>
      <c r="BNA3" s="202"/>
      <c r="BNB3" s="202"/>
      <c r="BNC3" s="202"/>
      <c r="BND3" s="202"/>
      <c r="BNE3" s="202"/>
      <c r="BNF3" s="202"/>
      <c r="BNG3" s="202"/>
      <c r="BNH3" s="202"/>
      <c r="BNI3" s="202"/>
      <c r="BNJ3" s="202"/>
      <c r="BNK3" s="202"/>
      <c r="BNL3" s="202"/>
      <c r="BNM3" s="202"/>
      <c r="BNN3" s="202"/>
      <c r="BNO3" s="202"/>
      <c r="BNP3" s="202"/>
      <c r="BNQ3" s="202"/>
      <c r="BNR3" s="202"/>
      <c r="BNS3" s="202"/>
      <c r="BNT3" s="202"/>
      <c r="BNU3" s="202"/>
      <c r="BNV3" s="202"/>
      <c r="BNW3" s="202"/>
      <c r="BNX3" s="202"/>
      <c r="BNY3" s="202"/>
      <c r="BNZ3" s="202"/>
      <c r="BOA3" s="202"/>
      <c r="BOB3" s="202"/>
      <c r="BOC3" s="202"/>
      <c r="BOD3" s="202"/>
      <c r="BOE3" s="202"/>
      <c r="BOF3" s="202"/>
      <c r="BOG3" s="202"/>
      <c r="BOH3" s="202"/>
      <c r="BOI3" s="202"/>
      <c r="BOJ3" s="202"/>
      <c r="BOK3" s="202"/>
      <c r="BOL3" s="202"/>
      <c r="BOM3" s="202"/>
      <c r="BON3" s="202"/>
      <c r="BOO3" s="202"/>
      <c r="BOP3" s="202"/>
      <c r="BOQ3" s="202"/>
      <c r="BOR3" s="202"/>
      <c r="BOS3" s="202"/>
      <c r="BOT3" s="202"/>
      <c r="BOU3" s="202"/>
      <c r="BOV3" s="202"/>
      <c r="BOW3" s="202"/>
      <c r="BOX3" s="202"/>
      <c r="BOY3" s="202"/>
      <c r="BOZ3" s="202"/>
      <c r="BPA3" s="202"/>
      <c r="BPB3" s="202"/>
      <c r="BPC3" s="202"/>
      <c r="BPD3" s="202"/>
      <c r="BPE3" s="202"/>
      <c r="BPF3" s="202"/>
      <c r="BPG3" s="202"/>
      <c r="BPH3" s="202"/>
      <c r="BPI3" s="202"/>
      <c r="BPJ3" s="202"/>
      <c r="BPK3" s="202"/>
      <c r="BPL3" s="202"/>
      <c r="BPM3" s="202"/>
      <c r="BPN3" s="202"/>
      <c r="BPO3" s="202"/>
      <c r="BPP3" s="202"/>
      <c r="BPQ3" s="202"/>
      <c r="BPR3" s="202"/>
      <c r="BPS3" s="202"/>
      <c r="BPT3" s="202"/>
      <c r="BPU3" s="202"/>
      <c r="BPV3" s="202"/>
      <c r="BPW3" s="202"/>
      <c r="BPX3" s="202"/>
      <c r="BPY3" s="202"/>
      <c r="BPZ3" s="202"/>
      <c r="BQA3" s="202"/>
      <c r="BQB3" s="202"/>
      <c r="BQC3" s="202"/>
      <c r="BQD3" s="202"/>
      <c r="BQE3" s="202"/>
      <c r="BQF3" s="202"/>
      <c r="BQG3" s="202"/>
      <c r="BQH3" s="202"/>
      <c r="BQI3" s="202"/>
      <c r="BQJ3" s="202"/>
      <c r="BQK3" s="202"/>
      <c r="BQL3" s="202"/>
      <c r="BQM3" s="202"/>
      <c r="BQN3" s="202"/>
      <c r="BQO3" s="202"/>
      <c r="BQP3" s="202"/>
      <c r="BQQ3" s="202"/>
      <c r="BQR3" s="202"/>
      <c r="BQS3" s="202"/>
      <c r="BQT3" s="202"/>
      <c r="BQU3" s="202"/>
      <c r="BQV3" s="202"/>
      <c r="BQW3" s="202"/>
      <c r="BQX3" s="202"/>
      <c r="BQY3" s="202"/>
      <c r="BQZ3" s="202"/>
      <c r="BRA3" s="202"/>
      <c r="BRB3" s="202"/>
      <c r="BRC3" s="202"/>
      <c r="BRD3" s="202"/>
      <c r="BRE3" s="202"/>
      <c r="BRF3" s="202"/>
      <c r="BRG3" s="202"/>
      <c r="BRH3" s="202"/>
      <c r="BRI3" s="202"/>
      <c r="BRJ3" s="202"/>
      <c r="BRK3" s="202"/>
      <c r="BRL3" s="202"/>
      <c r="BRM3" s="202"/>
      <c r="BRN3" s="202"/>
      <c r="BRO3" s="202"/>
      <c r="BRP3" s="202"/>
      <c r="BRQ3" s="202"/>
      <c r="BRR3" s="202"/>
      <c r="BRS3" s="202"/>
      <c r="BRT3" s="202"/>
      <c r="BRU3" s="202"/>
      <c r="BRV3" s="202"/>
      <c r="BRW3" s="202"/>
      <c r="BRX3" s="202"/>
      <c r="BRY3" s="202"/>
      <c r="BRZ3" s="202"/>
      <c r="BSA3" s="202"/>
      <c r="BSB3" s="202"/>
      <c r="BSC3" s="202"/>
      <c r="BSD3" s="202"/>
      <c r="BSE3" s="202"/>
      <c r="BSF3" s="202"/>
      <c r="BSG3" s="202"/>
      <c r="BSH3" s="202"/>
      <c r="BSI3" s="202"/>
      <c r="BSJ3" s="202"/>
      <c r="BSK3" s="202"/>
      <c r="BSL3" s="202"/>
      <c r="BSM3" s="202"/>
      <c r="BSN3" s="202"/>
      <c r="BSO3" s="202"/>
      <c r="BSP3" s="202"/>
      <c r="BSQ3" s="202"/>
      <c r="BSR3" s="202"/>
      <c r="BSS3" s="202"/>
      <c r="BST3" s="202"/>
      <c r="BSU3" s="202"/>
      <c r="BSV3" s="202"/>
      <c r="BSW3" s="202"/>
      <c r="BSX3" s="202"/>
      <c r="BSY3" s="202"/>
      <c r="BSZ3" s="202"/>
      <c r="BTA3" s="202"/>
      <c r="BTB3" s="202"/>
      <c r="BTC3" s="202"/>
      <c r="BTD3" s="202"/>
      <c r="BTE3" s="202"/>
      <c r="BTF3" s="202"/>
      <c r="BTG3" s="202"/>
      <c r="BTH3" s="202"/>
      <c r="BTI3" s="202"/>
      <c r="BTJ3" s="202"/>
      <c r="BTK3" s="202"/>
      <c r="BTL3" s="202"/>
      <c r="BTM3" s="202"/>
      <c r="BTN3" s="202"/>
      <c r="BTO3" s="202"/>
      <c r="BTP3" s="202"/>
      <c r="BTQ3" s="202"/>
      <c r="BTR3" s="202"/>
      <c r="BTS3" s="202"/>
      <c r="BTT3" s="202"/>
      <c r="BTU3" s="202"/>
      <c r="BTV3" s="202"/>
      <c r="BTW3" s="202"/>
      <c r="BTX3" s="202"/>
      <c r="BTY3" s="202"/>
      <c r="BTZ3" s="202"/>
      <c r="BUA3" s="202"/>
      <c r="BUB3" s="202"/>
      <c r="BUC3" s="202"/>
      <c r="BUD3" s="202"/>
      <c r="BUE3" s="202"/>
      <c r="BUF3" s="202"/>
      <c r="BUG3" s="202"/>
      <c r="BUH3" s="202"/>
      <c r="BUI3" s="202"/>
      <c r="BUJ3" s="202"/>
      <c r="BUK3" s="202"/>
      <c r="BUL3" s="202"/>
      <c r="BUM3" s="202"/>
      <c r="BUN3" s="202"/>
      <c r="BUO3" s="202"/>
      <c r="BUP3" s="202"/>
      <c r="BUQ3" s="202"/>
      <c r="BUR3" s="202"/>
      <c r="BUS3" s="202"/>
      <c r="BUT3" s="202"/>
      <c r="BUU3" s="202"/>
      <c r="BUV3" s="202"/>
      <c r="BUW3" s="202"/>
      <c r="BUX3" s="202"/>
      <c r="BUY3" s="202"/>
      <c r="BUZ3" s="202"/>
      <c r="BVA3" s="202"/>
      <c r="BVB3" s="202"/>
      <c r="BVC3" s="202"/>
      <c r="BVD3" s="202"/>
      <c r="BVE3" s="202"/>
      <c r="BVF3" s="202"/>
      <c r="BVG3" s="202"/>
      <c r="BVH3" s="202"/>
      <c r="BVI3" s="202"/>
      <c r="BVJ3" s="202"/>
      <c r="BVK3" s="202"/>
      <c r="BVL3" s="202"/>
      <c r="BVM3" s="202"/>
      <c r="BVN3" s="202"/>
      <c r="BVO3" s="202"/>
      <c r="BVP3" s="202"/>
      <c r="BVQ3" s="202"/>
      <c r="BVR3" s="202"/>
      <c r="BVS3" s="202"/>
      <c r="BVT3" s="202"/>
      <c r="BVU3" s="202"/>
      <c r="BVV3" s="202"/>
      <c r="BVW3" s="202"/>
      <c r="BVX3" s="202"/>
      <c r="BVY3" s="202"/>
      <c r="BVZ3" s="202"/>
      <c r="BWA3" s="202"/>
      <c r="BWB3" s="202"/>
      <c r="BWC3" s="202"/>
      <c r="BWD3" s="202"/>
      <c r="BWE3" s="202"/>
      <c r="BWF3" s="202"/>
      <c r="BWG3" s="202"/>
      <c r="BWH3" s="202"/>
      <c r="BWI3" s="202"/>
      <c r="BWJ3" s="202"/>
      <c r="BWK3" s="202"/>
      <c r="BWL3" s="202"/>
      <c r="BWM3" s="202"/>
      <c r="BWN3" s="202"/>
      <c r="BWO3" s="202"/>
      <c r="BWP3" s="202"/>
      <c r="BWQ3" s="202"/>
      <c r="BWR3" s="202"/>
      <c r="BWS3" s="202"/>
      <c r="BWT3" s="202"/>
      <c r="BWU3" s="202"/>
      <c r="BWV3" s="202"/>
      <c r="BWW3" s="202"/>
      <c r="BWX3" s="202"/>
      <c r="BWY3" s="202"/>
      <c r="BWZ3" s="202"/>
      <c r="BXA3" s="202"/>
      <c r="BXB3" s="202"/>
      <c r="BXC3" s="202"/>
      <c r="BXD3" s="202"/>
      <c r="BXE3" s="202"/>
      <c r="BXF3" s="202"/>
      <c r="BXG3" s="202"/>
      <c r="BXH3" s="202"/>
      <c r="BXI3" s="202"/>
      <c r="BXJ3" s="202"/>
      <c r="BXK3" s="202"/>
      <c r="BXL3" s="202"/>
      <c r="BXM3" s="202"/>
      <c r="BXN3" s="202"/>
      <c r="BXO3" s="202"/>
      <c r="BXP3" s="202"/>
      <c r="BXQ3" s="202"/>
      <c r="BXR3" s="202"/>
      <c r="BXS3" s="202"/>
      <c r="BXT3" s="202"/>
      <c r="BXU3" s="202"/>
      <c r="BXV3" s="202"/>
      <c r="BXW3" s="202"/>
      <c r="BXX3" s="202"/>
      <c r="BXY3" s="202"/>
      <c r="BXZ3" s="202"/>
      <c r="BYA3" s="202"/>
      <c r="BYB3" s="202"/>
      <c r="BYC3" s="202"/>
      <c r="BYD3" s="202"/>
      <c r="BYE3" s="202"/>
      <c r="BYF3" s="202"/>
      <c r="BYG3" s="202"/>
      <c r="BYH3" s="202"/>
      <c r="BYI3" s="202"/>
      <c r="BYJ3" s="202"/>
      <c r="BYK3" s="202"/>
      <c r="BYL3" s="202"/>
      <c r="BYM3" s="202"/>
      <c r="BYN3" s="202"/>
      <c r="BYO3" s="202"/>
      <c r="BYP3" s="202"/>
      <c r="BYQ3" s="202"/>
      <c r="BYR3" s="202"/>
      <c r="BYS3" s="202"/>
      <c r="BYT3" s="202"/>
      <c r="BYU3" s="202"/>
      <c r="BYV3" s="202"/>
      <c r="BYW3" s="202"/>
      <c r="BYX3" s="202"/>
      <c r="BYY3" s="202"/>
      <c r="BYZ3" s="202"/>
      <c r="BZA3" s="202"/>
      <c r="BZB3" s="202"/>
      <c r="BZC3" s="202"/>
      <c r="BZD3" s="202"/>
      <c r="BZE3" s="202"/>
      <c r="BZF3" s="202"/>
      <c r="BZG3" s="202"/>
      <c r="BZH3" s="202"/>
      <c r="BZI3" s="202"/>
      <c r="BZJ3" s="202"/>
      <c r="BZK3" s="202"/>
      <c r="BZL3" s="202"/>
      <c r="BZM3" s="202"/>
      <c r="BZN3" s="202"/>
      <c r="BZO3" s="202"/>
      <c r="BZP3" s="202"/>
      <c r="BZQ3" s="202"/>
      <c r="BZR3" s="202"/>
      <c r="BZS3" s="202"/>
      <c r="BZT3" s="202"/>
      <c r="BZU3" s="202"/>
      <c r="BZV3" s="202"/>
      <c r="BZW3" s="202"/>
      <c r="BZX3" s="202"/>
      <c r="BZY3" s="202"/>
      <c r="BZZ3" s="202"/>
      <c r="CAA3" s="202"/>
      <c r="CAB3" s="202"/>
      <c r="CAC3" s="202"/>
      <c r="CAD3" s="202"/>
      <c r="CAE3" s="202"/>
      <c r="CAF3" s="202"/>
      <c r="CAG3" s="202"/>
      <c r="CAH3" s="202"/>
      <c r="CAI3" s="202"/>
      <c r="CAJ3" s="202"/>
      <c r="CAK3" s="202"/>
      <c r="CAL3" s="202"/>
      <c r="CAM3" s="202"/>
      <c r="CAN3" s="202"/>
      <c r="CAO3" s="202"/>
      <c r="CAP3" s="202"/>
      <c r="CAQ3" s="202"/>
      <c r="CAR3" s="202"/>
      <c r="CAS3" s="202"/>
      <c r="CAT3" s="202"/>
      <c r="CAU3" s="202"/>
      <c r="CAV3" s="202"/>
      <c r="CAW3" s="202"/>
      <c r="CAX3" s="202"/>
      <c r="CAY3" s="202"/>
      <c r="CAZ3" s="202"/>
      <c r="CBA3" s="202"/>
      <c r="CBB3" s="202"/>
      <c r="CBC3" s="202"/>
      <c r="CBD3" s="202"/>
      <c r="CBE3" s="202"/>
      <c r="CBF3" s="202"/>
      <c r="CBG3" s="202"/>
      <c r="CBH3" s="202"/>
      <c r="CBI3" s="202"/>
      <c r="CBJ3" s="202"/>
      <c r="CBK3" s="202"/>
      <c r="CBL3" s="202"/>
      <c r="CBM3" s="202"/>
      <c r="CBN3" s="202"/>
      <c r="CBO3" s="202"/>
      <c r="CBP3" s="202"/>
      <c r="CBQ3" s="202"/>
      <c r="CBR3" s="202"/>
      <c r="CBS3" s="202"/>
      <c r="CBT3" s="202"/>
      <c r="CBU3" s="202"/>
      <c r="CBV3" s="202"/>
      <c r="CBW3" s="202"/>
      <c r="CBX3" s="202"/>
      <c r="CBY3" s="202"/>
      <c r="CBZ3" s="202"/>
      <c r="CCA3" s="202"/>
      <c r="CCB3" s="202"/>
      <c r="CCC3" s="202"/>
      <c r="CCD3" s="202"/>
      <c r="CCE3" s="202"/>
      <c r="CCF3" s="202"/>
      <c r="CCG3" s="202"/>
      <c r="CCH3" s="202"/>
      <c r="CCI3" s="202"/>
      <c r="CCJ3" s="202"/>
      <c r="CCK3" s="202"/>
      <c r="CCL3" s="202"/>
      <c r="CCM3" s="202"/>
      <c r="CCN3" s="202"/>
      <c r="CCO3" s="202"/>
      <c r="CCP3" s="202"/>
      <c r="CCQ3" s="202"/>
      <c r="CCR3" s="202"/>
      <c r="CCS3" s="202"/>
      <c r="CCT3" s="202"/>
      <c r="CCU3" s="202"/>
      <c r="CCV3" s="202"/>
      <c r="CCW3" s="202"/>
      <c r="CCX3" s="202"/>
      <c r="CCY3" s="202"/>
      <c r="CCZ3" s="202"/>
      <c r="CDA3" s="202"/>
      <c r="CDB3" s="202"/>
      <c r="CDC3" s="202"/>
      <c r="CDD3" s="202"/>
      <c r="CDE3" s="202"/>
      <c r="CDF3" s="202"/>
      <c r="CDG3" s="202"/>
      <c r="CDH3" s="202"/>
      <c r="CDI3" s="202"/>
      <c r="CDJ3" s="202"/>
      <c r="CDK3" s="202"/>
      <c r="CDL3" s="202"/>
      <c r="CDM3" s="202"/>
      <c r="CDN3" s="202"/>
      <c r="CDO3" s="202"/>
      <c r="CDP3" s="202"/>
      <c r="CDQ3" s="202"/>
      <c r="CDR3" s="202"/>
      <c r="CDS3" s="202"/>
      <c r="CDT3" s="202"/>
      <c r="CDU3" s="202"/>
      <c r="CDV3" s="202"/>
      <c r="CDW3" s="202"/>
      <c r="CDX3" s="202"/>
      <c r="CDY3" s="202"/>
      <c r="CDZ3" s="202"/>
      <c r="CEA3" s="202"/>
      <c r="CEB3" s="202"/>
      <c r="CEC3" s="202"/>
      <c r="CED3" s="202"/>
      <c r="CEE3" s="202"/>
      <c r="CEF3" s="202"/>
      <c r="CEG3" s="202"/>
      <c r="CEH3" s="202"/>
      <c r="CEI3" s="202"/>
      <c r="CEJ3" s="202"/>
      <c r="CEK3" s="202"/>
      <c r="CEL3" s="202"/>
      <c r="CEM3" s="202"/>
      <c r="CEN3" s="202"/>
      <c r="CEO3" s="202"/>
      <c r="CEP3" s="202"/>
      <c r="CEQ3" s="202"/>
      <c r="CER3" s="202"/>
      <c r="CES3" s="202"/>
      <c r="CET3" s="202"/>
      <c r="CEU3" s="202"/>
      <c r="CEV3" s="202"/>
      <c r="CEW3" s="202"/>
      <c r="CEX3" s="202"/>
      <c r="CEY3" s="202"/>
      <c r="CEZ3" s="202"/>
      <c r="CFA3" s="202"/>
      <c r="CFB3" s="202"/>
      <c r="CFC3" s="202"/>
      <c r="CFD3" s="202"/>
      <c r="CFE3" s="202"/>
      <c r="CFF3" s="202"/>
      <c r="CFG3" s="202"/>
      <c r="CFH3" s="202"/>
      <c r="CFI3" s="202"/>
      <c r="CFJ3" s="202"/>
      <c r="CFK3" s="202"/>
      <c r="CFL3" s="202"/>
      <c r="CFM3" s="202"/>
      <c r="CFN3" s="202"/>
      <c r="CFO3" s="202"/>
      <c r="CFP3" s="202"/>
      <c r="CFQ3" s="202"/>
      <c r="CFR3" s="202"/>
      <c r="CFS3" s="202"/>
      <c r="CFT3" s="202"/>
      <c r="CFU3" s="202"/>
      <c r="CFV3" s="202"/>
      <c r="CFW3" s="202"/>
      <c r="CFX3" s="202"/>
      <c r="CFY3" s="202"/>
      <c r="CFZ3" s="202"/>
      <c r="CGA3" s="202"/>
      <c r="CGB3" s="202"/>
      <c r="CGC3" s="202"/>
      <c r="CGD3" s="202"/>
      <c r="CGE3" s="202"/>
      <c r="CGF3" s="202"/>
      <c r="CGG3" s="202"/>
      <c r="CGH3" s="202"/>
      <c r="CGI3" s="202"/>
      <c r="CGJ3" s="202"/>
      <c r="CGK3" s="202"/>
      <c r="CGL3" s="202"/>
      <c r="CGM3" s="202"/>
      <c r="CGN3" s="202"/>
      <c r="CGO3" s="202"/>
      <c r="CGP3" s="202"/>
      <c r="CGQ3" s="202"/>
      <c r="CGR3" s="202"/>
      <c r="CGS3" s="202"/>
      <c r="CGT3" s="202"/>
      <c r="CGU3" s="202"/>
      <c r="CGV3" s="202"/>
      <c r="CGW3" s="202"/>
      <c r="CGX3" s="202"/>
      <c r="CGY3" s="202"/>
      <c r="CGZ3" s="202"/>
      <c r="CHA3" s="202"/>
      <c r="CHB3" s="202"/>
      <c r="CHC3" s="202"/>
      <c r="CHD3" s="202"/>
      <c r="CHE3" s="202"/>
      <c r="CHF3" s="202"/>
      <c r="CHG3" s="202"/>
      <c r="CHH3" s="202"/>
      <c r="CHI3" s="202"/>
      <c r="CHJ3" s="202"/>
      <c r="CHK3" s="202"/>
      <c r="CHL3" s="202"/>
      <c r="CHM3" s="202"/>
      <c r="CHN3" s="202"/>
      <c r="CHO3" s="202"/>
      <c r="CHP3" s="202"/>
      <c r="CHQ3" s="202"/>
      <c r="CHR3" s="202"/>
      <c r="CHS3" s="202"/>
      <c r="CHT3" s="202"/>
      <c r="CHU3" s="202"/>
      <c r="CHV3" s="202"/>
      <c r="CHW3" s="202"/>
      <c r="CHX3" s="202"/>
      <c r="CHY3" s="202"/>
      <c r="CHZ3" s="202"/>
      <c r="CIA3" s="202"/>
      <c r="CIB3" s="202"/>
      <c r="CIC3" s="202"/>
      <c r="CID3" s="202"/>
      <c r="CIE3" s="202"/>
      <c r="CIF3" s="202"/>
      <c r="CIG3" s="202"/>
      <c r="CIH3" s="202"/>
      <c r="CII3" s="202"/>
      <c r="CIJ3" s="202"/>
      <c r="CIK3" s="202"/>
      <c r="CIL3" s="202"/>
      <c r="CIM3" s="202"/>
      <c r="CIN3" s="202"/>
      <c r="CIO3" s="202"/>
      <c r="CIP3" s="202"/>
      <c r="CIQ3" s="202"/>
      <c r="CIR3" s="202"/>
      <c r="CIS3" s="202"/>
      <c r="CIT3" s="202"/>
      <c r="CIU3" s="202"/>
      <c r="CIV3" s="202"/>
      <c r="CIW3" s="202"/>
      <c r="CIX3" s="202"/>
      <c r="CIY3" s="202"/>
      <c r="CIZ3" s="202"/>
      <c r="CJA3" s="202"/>
      <c r="CJB3" s="202"/>
      <c r="CJC3" s="202"/>
      <c r="CJD3" s="202"/>
      <c r="CJE3" s="202"/>
      <c r="CJF3" s="202"/>
      <c r="CJG3" s="202"/>
      <c r="CJH3" s="202"/>
      <c r="CJI3" s="202"/>
      <c r="CJJ3" s="202"/>
      <c r="CJK3" s="202"/>
      <c r="CJL3" s="202"/>
      <c r="CJM3" s="202"/>
      <c r="CJN3" s="202"/>
      <c r="CJO3" s="202"/>
      <c r="CJP3" s="202"/>
      <c r="CJQ3" s="202"/>
      <c r="CJR3" s="202"/>
      <c r="CJS3" s="202"/>
      <c r="CJT3" s="202"/>
      <c r="CJU3" s="202"/>
      <c r="CJV3" s="202"/>
      <c r="CJW3" s="202"/>
      <c r="CJX3" s="202"/>
      <c r="CJY3" s="202"/>
      <c r="CJZ3" s="202"/>
      <c r="CKA3" s="202"/>
      <c r="CKB3" s="202"/>
      <c r="CKC3" s="202"/>
      <c r="CKD3" s="202"/>
      <c r="CKE3" s="202"/>
      <c r="CKF3" s="202"/>
      <c r="CKG3" s="202"/>
      <c r="CKH3" s="202"/>
      <c r="CKI3" s="202"/>
      <c r="CKJ3" s="202"/>
      <c r="CKK3" s="202"/>
      <c r="CKL3" s="202"/>
      <c r="CKM3" s="202"/>
      <c r="CKN3" s="202"/>
      <c r="CKO3" s="202"/>
      <c r="CKP3" s="202"/>
      <c r="CKQ3" s="202"/>
      <c r="CKR3" s="202"/>
      <c r="CKS3" s="202"/>
      <c r="CKT3" s="202"/>
      <c r="CKU3" s="202"/>
      <c r="CKV3" s="202"/>
      <c r="CKW3" s="202"/>
      <c r="CKX3" s="202"/>
      <c r="CKY3" s="202"/>
      <c r="CKZ3" s="202"/>
      <c r="CLA3" s="202"/>
      <c r="CLB3" s="202"/>
      <c r="CLC3" s="202"/>
      <c r="CLD3" s="202"/>
      <c r="CLE3" s="202"/>
      <c r="CLF3" s="202"/>
      <c r="CLG3" s="202"/>
      <c r="CLH3" s="202"/>
      <c r="CLI3" s="202"/>
      <c r="CLJ3" s="202"/>
      <c r="CLK3" s="202"/>
      <c r="CLL3" s="202"/>
      <c r="CLM3" s="202"/>
      <c r="CLN3" s="202"/>
      <c r="CLO3" s="202"/>
      <c r="CLP3" s="202"/>
      <c r="CLQ3" s="202"/>
      <c r="CLR3" s="202"/>
      <c r="CLS3" s="202"/>
      <c r="CLT3" s="202"/>
      <c r="CLU3" s="202"/>
      <c r="CLV3" s="202"/>
      <c r="CLW3" s="202"/>
      <c r="CLX3" s="202"/>
      <c r="CLY3" s="202"/>
      <c r="CLZ3" s="202"/>
      <c r="CMA3" s="202"/>
      <c r="CMB3" s="202"/>
      <c r="CMC3" s="202"/>
      <c r="CMD3" s="202"/>
      <c r="CME3" s="202"/>
      <c r="CMF3" s="202"/>
      <c r="CMG3" s="202"/>
      <c r="CMH3" s="202"/>
      <c r="CMI3" s="202"/>
      <c r="CMJ3" s="202"/>
      <c r="CMK3" s="202"/>
      <c r="CML3" s="202"/>
      <c r="CMM3" s="202"/>
      <c r="CMN3" s="202"/>
      <c r="CMO3" s="202"/>
      <c r="CMP3" s="202"/>
      <c r="CMQ3" s="202"/>
      <c r="CMR3" s="202"/>
      <c r="CMS3" s="202"/>
      <c r="CMT3" s="202"/>
      <c r="CMU3" s="202"/>
      <c r="CMV3" s="202"/>
      <c r="CMW3" s="202"/>
      <c r="CMX3" s="202"/>
      <c r="CMY3" s="202"/>
      <c r="CMZ3" s="202"/>
      <c r="CNA3" s="202"/>
      <c r="CNB3" s="202"/>
      <c r="CNC3" s="202"/>
      <c r="CND3" s="202"/>
      <c r="CNE3" s="202"/>
      <c r="CNF3" s="202"/>
      <c r="CNG3" s="202"/>
      <c r="CNH3" s="202"/>
      <c r="CNI3" s="202"/>
      <c r="CNJ3" s="202"/>
      <c r="CNK3" s="202"/>
      <c r="CNL3" s="202"/>
      <c r="CNM3" s="202"/>
      <c r="CNN3" s="202"/>
      <c r="CNO3" s="202"/>
      <c r="CNP3" s="202"/>
      <c r="CNQ3" s="202"/>
      <c r="CNR3" s="202"/>
      <c r="CNS3" s="202"/>
      <c r="CNT3" s="202"/>
      <c r="CNU3" s="202"/>
      <c r="CNV3" s="202"/>
      <c r="CNW3" s="202"/>
      <c r="CNX3" s="202"/>
      <c r="CNY3" s="202"/>
      <c r="CNZ3" s="202"/>
      <c r="COA3" s="202"/>
      <c r="COB3" s="202"/>
      <c r="COC3" s="202"/>
      <c r="COD3" s="202"/>
      <c r="COE3" s="202"/>
      <c r="COF3" s="202"/>
      <c r="COG3" s="202"/>
      <c r="COH3" s="202"/>
      <c r="COI3" s="202"/>
      <c r="COJ3" s="202"/>
      <c r="COK3" s="202"/>
      <c r="COL3" s="202"/>
      <c r="COM3" s="202"/>
      <c r="CON3" s="202"/>
      <c r="COO3" s="202"/>
      <c r="COP3" s="202"/>
      <c r="COQ3" s="202"/>
      <c r="COR3" s="202"/>
      <c r="COS3" s="202"/>
      <c r="COT3" s="202"/>
      <c r="COU3" s="202"/>
      <c r="COV3" s="202"/>
      <c r="COW3" s="202"/>
      <c r="COX3" s="202"/>
      <c r="COY3" s="202"/>
      <c r="COZ3" s="202"/>
      <c r="CPA3" s="202"/>
      <c r="CPB3" s="202"/>
      <c r="CPC3" s="202"/>
      <c r="CPD3" s="202"/>
      <c r="CPE3" s="202"/>
      <c r="CPF3" s="202"/>
      <c r="CPG3" s="202"/>
      <c r="CPH3" s="202"/>
      <c r="CPI3" s="202"/>
      <c r="CPJ3" s="202"/>
      <c r="CPK3" s="202"/>
      <c r="CPL3" s="202"/>
      <c r="CPM3" s="202"/>
      <c r="CPN3" s="202"/>
      <c r="CPO3" s="202"/>
      <c r="CPP3" s="202"/>
      <c r="CPQ3" s="202"/>
      <c r="CPR3" s="202"/>
      <c r="CPS3" s="202"/>
      <c r="CPT3" s="202"/>
      <c r="CPU3" s="202"/>
      <c r="CPV3" s="202"/>
      <c r="CPW3" s="202"/>
      <c r="CPX3" s="202"/>
      <c r="CPY3" s="202"/>
      <c r="CPZ3" s="202"/>
      <c r="CQA3" s="202"/>
      <c r="CQB3" s="202"/>
      <c r="CQC3" s="202"/>
      <c r="CQD3" s="202"/>
      <c r="CQE3" s="202"/>
      <c r="CQF3" s="202"/>
      <c r="CQG3" s="202"/>
      <c r="CQH3" s="202"/>
      <c r="CQI3" s="202"/>
      <c r="CQJ3" s="202"/>
      <c r="CQK3" s="202"/>
      <c r="CQL3" s="202"/>
      <c r="CQM3" s="202"/>
      <c r="CQN3" s="202"/>
      <c r="CQO3" s="202"/>
      <c r="CQP3" s="202"/>
      <c r="CQQ3" s="202"/>
      <c r="CQR3" s="202"/>
      <c r="CQS3" s="202"/>
      <c r="CQT3" s="202"/>
      <c r="CQU3" s="202"/>
      <c r="CQV3" s="202"/>
      <c r="CQW3" s="202"/>
      <c r="CQX3" s="202"/>
      <c r="CQY3" s="202"/>
      <c r="CQZ3" s="202"/>
      <c r="CRA3" s="202"/>
      <c r="CRB3" s="202"/>
      <c r="CRC3" s="202"/>
      <c r="CRD3" s="202"/>
      <c r="CRE3" s="202"/>
      <c r="CRF3" s="202"/>
      <c r="CRG3" s="202"/>
      <c r="CRH3" s="202"/>
      <c r="CRI3" s="202"/>
      <c r="CRJ3" s="202"/>
      <c r="CRK3" s="202"/>
      <c r="CRL3" s="202"/>
      <c r="CRM3" s="202"/>
      <c r="CRN3" s="202"/>
      <c r="CRO3" s="202"/>
      <c r="CRP3" s="202"/>
      <c r="CRQ3" s="202"/>
      <c r="CRR3" s="202"/>
      <c r="CRS3" s="202"/>
      <c r="CRT3" s="202"/>
      <c r="CRU3" s="202"/>
      <c r="CRV3" s="202"/>
      <c r="CRW3" s="202"/>
      <c r="CRX3" s="202"/>
      <c r="CRY3" s="202"/>
      <c r="CRZ3" s="202"/>
      <c r="CSA3" s="202"/>
      <c r="CSB3" s="202"/>
      <c r="CSC3" s="202"/>
      <c r="CSD3" s="202"/>
      <c r="CSE3" s="202"/>
      <c r="CSF3" s="202"/>
      <c r="CSG3" s="202"/>
      <c r="CSH3" s="202"/>
      <c r="CSI3" s="202"/>
      <c r="CSJ3" s="202"/>
      <c r="CSK3" s="202"/>
      <c r="CSL3" s="202"/>
      <c r="CSM3" s="202"/>
      <c r="CSN3" s="202"/>
      <c r="CSO3" s="202"/>
      <c r="CSP3" s="202"/>
      <c r="CSQ3" s="202"/>
      <c r="CSR3" s="202"/>
      <c r="CSS3" s="202"/>
      <c r="CST3" s="202"/>
      <c r="CSU3" s="202"/>
      <c r="CSV3" s="202"/>
      <c r="CSW3" s="202"/>
      <c r="CSX3" s="202"/>
      <c r="CSY3" s="202"/>
      <c r="CSZ3" s="202"/>
      <c r="CTA3" s="202"/>
      <c r="CTB3" s="202"/>
      <c r="CTC3" s="202"/>
      <c r="CTD3" s="202"/>
      <c r="CTE3" s="202"/>
      <c r="CTF3" s="202"/>
      <c r="CTG3" s="202"/>
      <c r="CTH3" s="202"/>
      <c r="CTI3" s="202"/>
      <c r="CTJ3" s="202"/>
      <c r="CTK3" s="202"/>
      <c r="CTL3" s="202"/>
      <c r="CTM3" s="202"/>
      <c r="CTN3" s="202"/>
      <c r="CTO3" s="202"/>
      <c r="CTP3" s="202"/>
      <c r="CTQ3" s="202"/>
      <c r="CTR3" s="202"/>
      <c r="CTS3" s="202"/>
      <c r="CTT3" s="202"/>
      <c r="CTU3" s="202"/>
      <c r="CTV3" s="202"/>
      <c r="CTW3" s="202"/>
      <c r="CTX3" s="202"/>
      <c r="CTY3" s="202"/>
      <c r="CTZ3" s="202"/>
      <c r="CUA3" s="202"/>
      <c r="CUB3" s="202"/>
      <c r="CUC3" s="202"/>
      <c r="CUD3" s="202"/>
      <c r="CUE3" s="202"/>
      <c r="CUF3" s="202"/>
      <c r="CUG3" s="202"/>
      <c r="CUH3" s="202"/>
      <c r="CUI3" s="202"/>
      <c r="CUJ3" s="202"/>
      <c r="CUK3" s="202"/>
      <c r="CUL3" s="202"/>
      <c r="CUM3" s="202"/>
      <c r="CUN3" s="202"/>
      <c r="CUO3" s="202"/>
      <c r="CUP3" s="202"/>
      <c r="CUQ3" s="202"/>
      <c r="CUR3" s="202"/>
      <c r="CUS3" s="202"/>
      <c r="CUT3" s="202"/>
      <c r="CUU3" s="202"/>
      <c r="CUV3" s="202"/>
      <c r="CUW3" s="202"/>
      <c r="CUX3" s="202"/>
      <c r="CUY3" s="202"/>
      <c r="CUZ3" s="202"/>
      <c r="CVA3" s="202"/>
      <c r="CVB3" s="202"/>
      <c r="CVC3" s="202"/>
      <c r="CVD3" s="202"/>
      <c r="CVE3" s="202"/>
      <c r="CVF3" s="202"/>
      <c r="CVG3" s="202"/>
      <c r="CVH3" s="202"/>
      <c r="CVI3" s="202"/>
      <c r="CVJ3" s="202"/>
      <c r="CVK3" s="202"/>
      <c r="CVL3" s="202"/>
      <c r="CVM3" s="202"/>
      <c r="CVN3" s="202"/>
      <c r="CVO3" s="202"/>
      <c r="CVP3" s="202"/>
      <c r="CVQ3" s="202"/>
      <c r="CVR3" s="202"/>
      <c r="CVS3" s="202"/>
      <c r="CVT3" s="202"/>
      <c r="CVU3" s="202"/>
      <c r="CVV3" s="202"/>
      <c r="CVW3" s="202"/>
      <c r="CVX3" s="202"/>
      <c r="CVY3" s="202"/>
      <c r="CVZ3" s="202"/>
      <c r="CWA3" s="202"/>
      <c r="CWB3" s="202"/>
      <c r="CWC3" s="202"/>
      <c r="CWD3" s="202"/>
      <c r="CWE3" s="202"/>
      <c r="CWF3" s="202"/>
      <c r="CWG3" s="202"/>
      <c r="CWH3" s="202"/>
      <c r="CWI3" s="202"/>
      <c r="CWJ3" s="202"/>
      <c r="CWK3" s="202"/>
      <c r="CWL3" s="202"/>
      <c r="CWM3" s="202"/>
      <c r="CWN3" s="202"/>
      <c r="CWO3" s="202"/>
      <c r="CWP3" s="202"/>
      <c r="CWQ3" s="202"/>
      <c r="CWR3" s="202"/>
      <c r="CWS3" s="202"/>
      <c r="CWT3" s="202"/>
      <c r="CWU3" s="202"/>
      <c r="CWV3" s="202"/>
      <c r="CWW3" s="202"/>
      <c r="CWX3" s="202"/>
      <c r="CWY3" s="202"/>
      <c r="CWZ3" s="202"/>
      <c r="CXA3" s="202"/>
      <c r="CXB3" s="202"/>
      <c r="CXC3" s="202"/>
      <c r="CXD3" s="202"/>
      <c r="CXE3" s="202"/>
      <c r="CXF3" s="202"/>
      <c r="CXG3" s="202"/>
      <c r="CXH3" s="202"/>
      <c r="CXI3" s="202"/>
      <c r="CXJ3" s="202"/>
      <c r="CXK3" s="202"/>
      <c r="CXL3" s="202"/>
      <c r="CXM3" s="202"/>
      <c r="CXN3" s="202"/>
      <c r="CXO3" s="202"/>
      <c r="CXP3" s="202"/>
      <c r="CXQ3" s="202"/>
      <c r="CXR3" s="202"/>
      <c r="CXS3" s="202"/>
      <c r="CXT3" s="202"/>
      <c r="CXU3" s="202"/>
      <c r="CXV3" s="202"/>
      <c r="CXW3" s="202"/>
      <c r="CXX3" s="202"/>
      <c r="CXY3" s="202"/>
      <c r="CXZ3" s="202"/>
      <c r="CYA3" s="202"/>
      <c r="CYB3" s="202"/>
      <c r="CYC3" s="202"/>
      <c r="CYD3" s="202"/>
      <c r="CYE3" s="202"/>
      <c r="CYF3" s="202"/>
      <c r="CYG3" s="202"/>
      <c r="CYH3" s="202"/>
      <c r="CYI3" s="202"/>
      <c r="CYJ3" s="202"/>
      <c r="CYK3" s="202"/>
      <c r="CYL3" s="202"/>
      <c r="CYM3" s="202"/>
      <c r="CYN3" s="202"/>
      <c r="CYO3" s="202"/>
      <c r="CYP3" s="202"/>
      <c r="CYQ3" s="202"/>
      <c r="CYR3" s="202"/>
      <c r="CYS3" s="202"/>
      <c r="CYT3" s="202"/>
      <c r="CYU3" s="202"/>
      <c r="CYV3" s="202"/>
      <c r="CYW3" s="202"/>
      <c r="CYX3" s="202"/>
      <c r="CYY3" s="202"/>
      <c r="CYZ3" s="202"/>
      <c r="CZA3" s="202"/>
      <c r="CZB3" s="202"/>
      <c r="CZC3" s="202"/>
      <c r="CZD3" s="202"/>
      <c r="CZE3" s="202"/>
      <c r="CZF3" s="202"/>
      <c r="CZG3" s="202"/>
      <c r="CZH3" s="202"/>
      <c r="CZI3" s="202"/>
      <c r="CZJ3" s="202"/>
      <c r="CZK3" s="202"/>
      <c r="CZL3" s="202"/>
      <c r="CZM3" s="202"/>
      <c r="CZN3" s="202"/>
      <c r="CZO3" s="202"/>
      <c r="CZP3" s="202"/>
      <c r="CZQ3" s="202"/>
      <c r="CZR3" s="202"/>
      <c r="CZS3" s="202"/>
      <c r="CZT3" s="202"/>
      <c r="CZU3" s="202"/>
      <c r="CZV3" s="202"/>
      <c r="CZW3" s="202"/>
      <c r="CZX3" s="202"/>
      <c r="CZY3" s="202"/>
      <c r="CZZ3" s="202"/>
      <c r="DAA3" s="202"/>
      <c r="DAB3" s="202"/>
      <c r="DAC3" s="202"/>
      <c r="DAD3" s="202"/>
      <c r="DAE3" s="202"/>
      <c r="DAF3" s="202"/>
      <c r="DAG3" s="202"/>
      <c r="DAH3" s="202"/>
      <c r="DAI3" s="202"/>
      <c r="DAJ3" s="202"/>
      <c r="DAK3" s="202"/>
      <c r="DAL3" s="202"/>
      <c r="DAM3" s="202"/>
      <c r="DAN3" s="202"/>
      <c r="DAO3" s="202"/>
      <c r="DAP3" s="202"/>
      <c r="DAQ3" s="202"/>
      <c r="DAR3" s="202"/>
      <c r="DAS3" s="202"/>
      <c r="DAT3" s="202"/>
      <c r="DAU3" s="202"/>
      <c r="DAV3" s="202"/>
      <c r="DAW3" s="202"/>
      <c r="DAX3" s="202"/>
      <c r="DAY3" s="202"/>
      <c r="DAZ3" s="202"/>
      <c r="DBA3" s="202"/>
      <c r="DBB3" s="202"/>
      <c r="DBC3" s="202"/>
      <c r="DBD3" s="202"/>
      <c r="DBE3" s="202"/>
      <c r="DBF3" s="202"/>
      <c r="DBG3" s="202"/>
      <c r="DBH3" s="202"/>
      <c r="DBI3" s="202"/>
      <c r="DBJ3" s="202"/>
      <c r="DBK3" s="202"/>
      <c r="DBL3" s="202"/>
      <c r="DBM3" s="202"/>
      <c r="DBN3" s="202"/>
      <c r="DBO3" s="202"/>
      <c r="DBP3" s="202"/>
      <c r="DBQ3" s="202"/>
      <c r="DBR3" s="202"/>
      <c r="DBS3" s="202"/>
      <c r="DBT3" s="202"/>
      <c r="DBU3" s="202"/>
      <c r="DBV3" s="202"/>
      <c r="DBW3" s="202"/>
      <c r="DBX3" s="202"/>
      <c r="DBY3" s="202"/>
      <c r="DBZ3" s="202"/>
      <c r="DCA3" s="202"/>
      <c r="DCB3" s="202"/>
      <c r="DCC3" s="202"/>
      <c r="DCD3" s="202"/>
      <c r="DCE3" s="202"/>
      <c r="DCF3" s="202"/>
      <c r="DCG3" s="202"/>
      <c r="DCH3" s="202"/>
      <c r="DCI3" s="202"/>
      <c r="DCJ3" s="202"/>
      <c r="DCK3" s="202"/>
      <c r="DCL3" s="202"/>
      <c r="DCM3" s="202"/>
      <c r="DCN3" s="202"/>
      <c r="DCO3" s="202"/>
      <c r="DCP3" s="202"/>
      <c r="DCQ3" s="202"/>
      <c r="DCR3" s="202"/>
      <c r="DCS3" s="202"/>
      <c r="DCT3" s="202"/>
      <c r="DCU3" s="202"/>
      <c r="DCV3" s="202"/>
      <c r="DCW3" s="202"/>
      <c r="DCX3" s="202"/>
      <c r="DCY3" s="202"/>
      <c r="DCZ3" s="202"/>
      <c r="DDA3" s="202"/>
      <c r="DDB3" s="202"/>
      <c r="DDC3" s="202"/>
      <c r="DDD3" s="202"/>
      <c r="DDE3" s="202"/>
      <c r="DDF3" s="202"/>
      <c r="DDG3" s="202"/>
      <c r="DDH3" s="202"/>
      <c r="DDI3" s="202"/>
      <c r="DDJ3" s="202"/>
      <c r="DDK3" s="202"/>
      <c r="DDL3" s="202"/>
      <c r="DDM3" s="202"/>
      <c r="DDN3" s="202"/>
      <c r="DDO3" s="202"/>
      <c r="DDP3" s="202"/>
      <c r="DDQ3" s="202"/>
      <c r="DDR3" s="202"/>
      <c r="DDS3" s="202"/>
      <c r="DDT3" s="202"/>
      <c r="DDU3" s="202"/>
      <c r="DDV3" s="202"/>
      <c r="DDW3" s="202"/>
      <c r="DDX3" s="202"/>
      <c r="DDY3" s="202"/>
      <c r="DDZ3" s="202"/>
      <c r="DEA3" s="202"/>
      <c r="DEB3" s="202"/>
      <c r="DEC3" s="202"/>
      <c r="DED3" s="202"/>
      <c r="DEE3" s="202"/>
      <c r="DEF3" s="202"/>
      <c r="DEG3" s="202"/>
      <c r="DEH3" s="202"/>
      <c r="DEI3" s="202"/>
      <c r="DEJ3" s="202"/>
      <c r="DEK3" s="202"/>
      <c r="DEL3" s="202"/>
      <c r="DEM3" s="202"/>
      <c r="DEN3" s="202"/>
      <c r="DEO3" s="202"/>
      <c r="DEP3" s="202"/>
      <c r="DEQ3" s="202"/>
      <c r="DER3" s="202"/>
      <c r="DES3" s="202"/>
      <c r="DET3" s="202"/>
      <c r="DEU3" s="202"/>
      <c r="DEV3" s="202"/>
      <c r="DEW3" s="202"/>
      <c r="DEX3" s="202"/>
      <c r="DEY3" s="202"/>
      <c r="DEZ3" s="202"/>
      <c r="DFA3" s="202"/>
      <c r="DFB3" s="202"/>
      <c r="DFC3" s="202"/>
      <c r="DFD3" s="202"/>
      <c r="DFE3" s="202"/>
      <c r="DFF3" s="202"/>
      <c r="DFG3" s="202"/>
      <c r="DFH3" s="202"/>
      <c r="DFI3" s="202"/>
      <c r="DFJ3" s="202"/>
      <c r="DFK3" s="202"/>
      <c r="DFL3" s="202"/>
      <c r="DFM3" s="202"/>
      <c r="DFN3" s="202"/>
      <c r="DFO3" s="202"/>
      <c r="DFP3" s="202"/>
      <c r="DFQ3" s="202"/>
      <c r="DFR3" s="202"/>
      <c r="DFS3" s="202"/>
      <c r="DFT3" s="202"/>
      <c r="DFU3" s="202"/>
      <c r="DFV3" s="202"/>
      <c r="DFW3" s="202"/>
      <c r="DFX3" s="202"/>
      <c r="DFY3" s="202"/>
      <c r="DFZ3" s="202"/>
      <c r="DGA3" s="202"/>
      <c r="DGB3" s="202"/>
      <c r="DGC3" s="202"/>
      <c r="DGD3" s="202"/>
      <c r="DGE3" s="202"/>
      <c r="DGF3" s="202"/>
      <c r="DGG3" s="202"/>
      <c r="DGH3" s="202"/>
      <c r="DGI3" s="202"/>
      <c r="DGJ3" s="202"/>
      <c r="DGK3" s="202"/>
      <c r="DGL3" s="202"/>
      <c r="DGM3" s="202"/>
      <c r="DGN3" s="202"/>
      <c r="DGO3" s="202"/>
      <c r="DGP3" s="202"/>
      <c r="DGQ3" s="202"/>
      <c r="DGR3" s="202"/>
      <c r="DGS3" s="202"/>
      <c r="DGT3" s="202"/>
      <c r="DGU3" s="202"/>
      <c r="DGV3" s="202"/>
      <c r="DGW3" s="202"/>
      <c r="DGX3" s="202"/>
      <c r="DGY3" s="202"/>
      <c r="DGZ3" s="202"/>
      <c r="DHA3" s="202"/>
      <c r="DHB3" s="202"/>
      <c r="DHC3" s="202"/>
      <c r="DHD3" s="202"/>
      <c r="DHE3" s="202"/>
      <c r="DHF3" s="202"/>
      <c r="DHG3" s="202"/>
      <c r="DHH3" s="202"/>
      <c r="DHI3" s="202"/>
      <c r="DHJ3" s="202"/>
      <c r="DHK3" s="202"/>
      <c r="DHL3" s="202"/>
      <c r="DHM3" s="202"/>
      <c r="DHN3" s="202"/>
      <c r="DHO3" s="202"/>
      <c r="DHP3" s="202"/>
      <c r="DHQ3" s="202"/>
      <c r="DHR3" s="202"/>
      <c r="DHS3" s="202"/>
      <c r="DHT3" s="202"/>
      <c r="DHU3" s="202"/>
      <c r="DHV3" s="202"/>
      <c r="DHW3" s="202"/>
      <c r="DHX3" s="202"/>
      <c r="DHY3" s="202"/>
      <c r="DHZ3" s="202"/>
      <c r="DIA3" s="202"/>
      <c r="DIB3" s="202"/>
      <c r="DIC3" s="202"/>
      <c r="DID3" s="202"/>
      <c r="DIE3" s="202"/>
      <c r="DIF3" s="202"/>
      <c r="DIG3" s="202"/>
      <c r="DIH3" s="202"/>
      <c r="DII3" s="202"/>
      <c r="DIJ3" s="202"/>
      <c r="DIK3" s="202"/>
      <c r="DIL3" s="202"/>
      <c r="DIM3" s="202"/>
      <c r="DIN3" s="202"/>
      <c r="DIO3" s="202"/>
      <c r="DIP3" s="202"/>
      <c r="DIQ3" s="202"/>
      <c r="DIR3" s="202"/>
      <c r="DIS3" s="202"/>
      <c r="DIT3" s="202"/>
      <c r="DIU3" s="202"/>
      <c r="DIV3" s="202"/>
      <c r="DIW3" s="202"/>
      <c r="DIX3" s="202"/>
      <c r="DIY3" s="202"/>
      <c r="DIZ3" s="202"/>
      <c r="DJA3" s="202"/>
      <c r="DJB3" s="202"/>
      <c r="DJC3" s="202"/>
      <c r="DJD3" s="202"/>
      <c r="DJE3" s="202"/>
      <c r="DJF3" s="202"/>
      <c r="DJG3" s="202"/>
      <c r="DJH3" s="202"/>
      <c r="DJI3" s="202"/>
      <c r="DJJ3" s="202"/>
      <c r="DJK3" s="202"/>
      <c r="DJL3" s="202"/>
      <c r="DJM3" s="202"/>
      <c r="DJN3" s="202"/>
      <c r="DJO3" s="202"/>
      <c r="DJP3" s="202"/>
      <c r="DJQ3" s="202"/>
      <c r="DJR3" s="202"/>
      <c r="DJS3" s="202"/>
      <c r="DJT3" s="202"/>
      <c r="DJU3" s="202"/>
      <c r="DJV3" s="202"/>
      <c r="DJW3" s="202"/>
      <c r="DJX3" s="202"/>
      <c r="DJY3" s="202"/>
      <c r="DJZ3" s="202"/>
      <c r="DKA3" s="202"/>
      <c r="DKB3" s="202"/>
      <c r="DKC3" s="202"/>
      <c r="DKD3" s="202"/>
      <c r="DKE3" s="202"/>
      <c r="DKF3" s="202"/>
      <c r="DKG3" s="202"/>
      <c r="DKH3" s="202"/>
      <c r="DKI3" s="202"/>
      <c r="DKJ3" s="202"/>
      <c r="DKK3" s="202"/>
      <c r="DKL3" s="202"/>
      <c r="DKM3" s="202"/>
      <c r="DKN3" s="202"/>
      <c r="DKO3" s="202"/>
      <c r="DKP3" s="202"/>
      <c r="DKQ3" s="202"/>
      <c r="DKR3" s="202"/>
      <c r="DKS3" s="202"/>
      <c r="DKT3" s="202"/>
      <c r="DKU3" s="202"/>
      <c r="DKV3" s="202"/>
      <c r="DKW3" s="202"/>
      <c r="DKX3" s="202"/>
      <c r="DKY3" s="202"/>
      <c r="DKZ3" s="202"/>
      <c r="DLA3" s="202"/>
      <c r="DLB3" s="202"/>
      <c r="DLC3" s="202"/>
      <c r="DLD3" s="202"/>
      <c r="DLE3" s="202"/>
      <c r="DLF3" s="202"/>
      <c r="DLG3" s="202"/>
      <c r="DLH3" s="202"/>
      <c r="DLI3" s="202"/>
      <c r="DLJ3" s="202"/>
      <c r="DLK3" s="202"/>
      <c r="DLL3" s="202"/>
      <c r="DLM3" s="202"/>
      <c r="DLN3" s="202"/>
      <c r="DLO3" s="202"/>
      <c r="DLP3" s="202"/>
      <c r="DLQ3" s="202"/>
      <c r="DLR3" s="202"/>
      <c r="DLS3" s="202"/>
      <c r="DLT3" s="202"/>
      <c r="DLU3" s="202"/>
      <c r="DLV3" s="202"/>
      <c r="DLW3" s="202"/>
      <c r="DLX3" s="202"/>
      <c r="DLY3" s="202"/>
      <c r="DLZ3" s="202"/>
      <c r="DMA3" s="202"/>
      <c r="DMB3" s="202"/>
      <c r="DMC3" s="202"/>
      <c r="DMD3" s="202"/>
      <c r="DME3" s="202"/>
      <c r="DMF3" s="202"/>
      <c r="DMG3" s="202"/>
      <c r="DMH3" s="202"/>
      <c r="DMI3" s="202"/>
      <c r="DMJ3" s="202"/>
      <c r="DMK3" s="202"/>
      <c r="DML3" s="202"/>
      <c r="DMM3" s="202"/>
      <c r="DMN3" s="202"/>
      <c r="DMO3" s="202"/>
      <c r="DMP3" s="202"/>
      <c r="DMQ3" s="202"/>
      <c r="DMR3" s="202"/>
      <c r="DMS3" s="202"/>
      <c r="DMT3" s="202"/>
      <c r="DMU3" s="202"/>
      <c r="DMV3" s="202"/>
      <c r="DMW3" s="202"/>
      <c r="DMX3" s="202"/>
      <c r="DMY3" s="202"/>
      <c r="DMZ3" s="202"/>
      <c r="DNA3" s="202"/>
      <c r="DNB3" s="202"/>
      <c r="DNC3" s="202"/>
      <c r="DND3" s="202"/>
      <c r="DNE3" s="202"/>
      <c r="DNF3" s="202"/>
      <c r="DNG3" s="202"/>
      <c r="DNH3" s="202"/>
      <c r="DNI3" s="202"/>
      <c r="DNJ3" s="202"/>
      <c r="DNK3" s="202"/>
      <c r="DNL3" s="202"/>
      <c r="DNM3" s="202"/>
      <c r="DNN3" s="202"/>
      <c r="DNO3" s="202"/>
      <c r="DNP3" s="202"/>
      <c r="DNQ3" s="202"/>
      <c r="DNR3" s="202"/>
      <c r="DNS3" s="202"/>
      <c r="DNT3" s="202"/>
      <c r="DNU3" s="202"/>
      <c r="DNV3" s="202"/>
      <c r="DNW3" s="202"/>
      <c r="DNX3" s="202"/>
      <c r="DNY3" s="202"/>
      <c r="DNZ3" s="202"/>
      <c r="DOA3" s="202"/>
      <c r="DOB3" s="202"/>
      <c r="DOC3" s="202"/>
      <c r="DOD3" s="202"/>
      <c r="DOE3" s="202"/>
      <c r="DOF3" s="202"/>
      <c r="DOG3" s="202"/>
      <c r="DOH3" s="202"/>
      <c r="DOI3" s="202"/>
      <c r="DOJ3" s="202"/>
      <c r="DOK3" s="202"/>
      <c r="DOL3" s="202"/>
      <c r="DOM3" s="202"/>
      <c r="DON3" s="202"/>
      <c r="DOO3" s="202"/>
      <c r="DOP3" s="202"/>
      <c r="DOQ3" s="202"/>
      <c r="DOR3" s="202"/>
      <c r="DOS3" s="202"/>
      <c r="DOT3" s="202"/>
      <c r="DOU3" s="202"/>
      <c r="DOV3" s="202"/>
      <c r="DOW3" s="202"/>
      <c r="DOX3" s="202"/>
      <c r="DOY3" s="202"/>
      <c r="DOZ3" s="202"/>
      <c r="DPA3" s="202"/>
      <c r="DPB3" s="202"/>
      <c r="DPC3" s="202"/>
      <c r="DPD3" s="202"/>
      <c r="DPE3" s="202"/>
      <c r="DPF3" s="202"/>
      <c r="DPG3" s="202"/>
      <c r="DPH3" s="202"/>
      <c r="DPI3" s="202"/>
      <c r="DPJ3" s="202"/>
      <c r="DPK3" s="202"/>
      <c r="DPL3" s="202"/>
      <c r="DPM3" s="202"/>
      <c r="DPN3" s="202"/>
      <c r="DPO3" s="202"/>
      <c r="DPP3" s="202"/>
      <c r="DPQ3" s="202"/>
      <c r="DPR3" s="202"/>
      <c r="DPS3" s="202"/>
      <c r="DPT3" s="202"/>
      <c r="DPU3" s="202"/>
      <c r="DPV3" s="202"/>
      <c r="DPW3" s="202"/>
      <c r="DPX3" s="202"/>
      <c r="DPY3" s="202"/>
      <c r="DPZ3" s="202"/>
      <c r="DQA3" s="202"/>
      <c r="DQB3" s="202"/>
      <c r="DQC3" s="202"/>
      <c r="DQD3" s="202"/>
      <c r="DQE3" s="202"/>
      <c r="DQF3" s="202"/>
      <c r="DQG3" s="202"/>
      <c r="DQH3" s="202"/>
      <c r="DQI3" s="202"/>
      <c r="DQJ3" s="202"/>
      <c r="DQK3" s="202"/>
      <c r="DQL3" s="202"/>
      <c r="DQM3" s="202"/>
      <c r="DQN3" s="202"/>
      <c r="DQO3" s="202"/>
      <c r="DQP3" s="202"/>
      <c r="DQQ3" s="202"/>
      <c r="DQR3" s="202"/>
      <c r="DQS3" s="202"/>
      <c r="DQT3" s="202"/>
      <c r="DQU3" s="202"/>
      <c r="DQV3" s="202"/>
      <c r="DQW3" s="202"/>
      <c r="DQX3" s="202"/>
      <c r="DQY3" s="202"/>
      <c r="DQZ3" s="202"/>
      <c r="DRA3" s="202"/>
      <c r="DRB3" s="202"/>
      <c r="DRC3" s="202"/>
      <c r="DRD3" s="202"/>
      <c r="DRE3" s="202"/>
      <c r="DRF3" s="202"/>
      <c r="DRG3" s="202"/>
      <c r="DRH3" s="202"/>
      <c r="DRI3" s="202"/>
      <c r="DRJ3" s="202"/>
      <c r="DRK3" s="202"/>
      <c r="DRL3" s="202"/>
      <c r="DRM3" s="202"/>
      <c r="DRN3" s="202"/>
      <c r="DRO3" s="202"/>
      <c r="DRP3" s="202"/>
      <c r="DRQ3" s="202"/>
      <c r="DRR3" s="202"/>
      <c r="DRS3" s="202"/>
      <c r="DRT3" s="202"/>
      <c r="DRU3" s="202"/>
      <c r="DRV3" s="202"/>
      <c r="DRW3" s="202"/>
      <c r="DRX3" s="202"/>
      <c r="DRY3" s="202"/>
      <c r="DRZ3" s="202"/>
      <c r="DSA3" s="202"/>
      <c r="DSB3" s="202"/>
      <c r="DSC3" s="202"/>
      <c r="DSD3" s="202"/>
      <c r="DSE3" s="202"/>
      <c r="DSF3" s="202"/>
      <c r="DSG3" s="202"/>
      <c r="DSH3" s="202"/>
      <c r="DSI3" s="202"/>
      <c r="DSJ3" s="202"/>
      <c r="DSK3" s="202"/>
      <c r="DSL3" s="202"/>
      <c r="DSM3" s="202"/>
      <c r="DSN3" s="202"/>
      <c r="DSO3" s="202"/>
      <c r="DSP3" s="202"/>
      <c r="DSQ3" s="202"/>
      <c r="DSR3" s="202"/>
      <c r="DSS3" s="202"/>
      <c r="DST3" s="202"/>
      <c r="DSU3" s="202"/>
      <c r="DSV3" s="202"/>
      <c r="DSW3" s="202"/>
      <c r="DSX3" s="202"/>
      <c r="DSY3" s="202"/>
      <c r="DSZ3" s="202"/>
      <c r="DTA3" s="202"/>
      <c r="DTB3" s="202"/>
      <c r="DTC3" s="202"/>
      <c r="DTD3" s="202"/>
      <c r="DTE3" s="202"/>
      <c r="DTF3" s="202"/>
      <c r="DTG3" s="202"/>
      <c r="DTH3" s="202"/>
      <c r="DTI3" s="202"/>
      <c r="DTJ3" s="202"/>
      <c r="DTK3" s="202"/>
      <c r="DTL3" s="202"/>
      <c r="DTM3" s="202"/>
      <c r="DTN3" s="202"/>
      <c r="DTO3" s="202"/>
    </row>
    <row r="4" spans="1:3239" s="221" customFormat="1" ht="20.399999999999999" customHeight="1" thickTop="1" thickBot="1" x14ac:dyDescent="0.35">
      <c r="A4" s="204" t="s">
        <v>159</v>
      </c>
      <c r="B4" s="205"/>
      <c r="C4" s="206">
        <v>66000</v>
      </c>
      <c r="D4" s="206">
        <v>30200</v>
      </c>
      <c r="E4" s="206">
        <v>8300</v>
      </c>
      <c r="F4" s="206">
        <v>2000</v>
      </c>
      <c r="G4" s="206">
        <v>8300</v>
      </c>
      <c r="H4" s="206">
        <v>8300</v>
      </c>
      <c r="I4" s="206">
        <v>3500</v>
      </c>
      <c r="J4" s="206">
        <v>4000</v>
      </c>
      <c r="K4" s="207">
        <v>8300</v>
      </c>
      <c r="L4" s="206">
        <v>500</v>
      </c>
      <c r="M4" s="208">
        <v>8500</v>
      </c>
      <c r="N4" s="209">
        <v>9200</v>
      </c>
      <c r="O4" s="405">
        <v>6000</v>
      </c>
      <c r="P4" s="210">
        <v>11000</v>
      </c>
      <c r="Q4" s="404">
        <v>12500</v>
      </c>
      <c r="R4" s="211">
        <f>SUM(E4,G4:H4,K4,M4,N4,P4,Q4)</f>
        <v>74400</v>
      </c>
      <c r="S4" s="212">
        <f>SUM(F4,I4,J4,L4,O4)</f>
        <v>16000</v>
      </c>
      <c r="T4" s="456">
        <f>SUM(E4:Q4)</f>
        <v>90400</v>
      </c>
      <c r="U4" s="213"/>
      <c r="V4" s="214"/>
      <c r="W4" s="215"/>
      <c r="X4" s="216" t="s">
        <v>361</v>
      </c>
      <c r="Y4" s="217"/>
      <c r="Z4" s="218"/>
      <c r="AA4" s="219"/>
      <c r="AB4" s="219"/>
      <c r="AC4" s="219"/>
      <c r="AD4" s="219"/>
      <c r="AE4" s="219"/>
      <c r="AF4" s="219"/>
      <c r="AG4" s="219"/>
      <c r="AH4" s="219"/>
      <c r="AI4" s="219"/>
      <c r="AJ4" s="220"/>
      <c r="AK4" s="220"/>
      <c r="AL4" s="220"/>
      <c r="AM4" s="220"/>
      <c r="AN4" s="220"/>
      <c r="AO4" s="220"/>
      <c r="AP4" s="220"/>
      <c r="AQ4" s="220"/>
      <c r="AR4" s="220"/>
      <c r="AS4" s="220"/>
      <c r="AT4" s="220"/>
      <c r="AU4" s="220"/>
    </row>
    <row r="5" spans="1:3239" s="182" customFormat="1" ht="11.4" thickTop="1" thickBot="1" x14ac:dyDescent="0.25">
      <c r="A5" s="222">
        <v>2</v>
      </c>
      <c r="B5" s="223" t="s">
        <v>131</v>
      </c>
      <c r="C5" s="224">
        <v>0</v>
      </c>
      <c r="D5" s="225">
        <v>0</v>
      </c>
      <c r="E5" s="224">
        <v>8300</v>
      </c>
      <c r="F5" s="224">
        <v>2000</v>
      </c>
      <c r="G5" s="224">
        <v>8300</v>
      </c>
      <c r="H5" s="224">
        <v>8300</v>
      </c>
      <c r="I5" s="224">
        <v>3500</v>
      </c>
      <c r="J5" s="224">
        <v>4000</v>
      </c>
      <c r="K5" s="224">
        <v>8300</v>
      </c>
      <c r="L5" s="224">
        <v>500</v>
      </c>
      <c r="M5" s="224">
        <v>8500</v>
      </c>
      <c r="N5" s="224">
        <v>9200</v>
      </c>
      <c r="O5" s="245">
        <v>6000</v>
      </c>
      <c r="P5" s="228">
        <v>11000</v>
      </c>
      <c r="Q5" s="399">
        <v>15375</v>
      </c>
      <c r="R5" s="229">
        <f>SUM(E5,G5,H5,K5,M5,N5,P5,Q5)</f>
        <v>77275</v>
      </c>
      <c r="S5" s="226">
        <f>SUM(F5,I5,J5,L5,O5)</f>
        <v>16000</v>
      </c>
      <c r="T5" s="400">
        <f>SUM(E5:Q5)</f>
        <v>93275</v>
      </c>
      <c r="U5" s="231">
        <f t="shared" ref="U5:U36" si="0">S$173-S5+C5</f>
        <v>0</v>
      </c>
      <c r="V5" s="232">
        <f t="shared" ref="V5:V36" si="1">IF(V$173-R5+D5&gt;0,ROUNDUP(V$173-R5+D5,0),0)</f>
        <v>0</v>
      </c>
      <c r="W5" s="233">
        <f>IF((U5+V5)&lt;=0,0,U5+V5)</f>
        <v>0</v>
      </c>
      <c r="X5" s="234">
        <f t="shared" ref="X5:X36" si="2">SUM(E$4,G$4,H$4,K$4,M$4,N$4,P$4)+D5-R5</f>
        <v>-15375</v>
      </c>
      <c r="Y5" s="233">
        <f>U5+X5</f>
        <v>-15375</v>
      </c>
      <c r="Z5" s="235">
        <v>2</v>
      </c>
      <c r="AA5" s="236">
        <f t="shared" ref="AA5:AA36" si="3">T5-AC5-SUM(C5:D5)+SUM(AD5:AE5)</f>
        <v>0</v>
      </c>
      <c r="AB5" s="172"/>
      <c r="AC5" s="172">
        <v>93275</v>
      </c>
      <c r="AD5" s="224">
        <v>0</v>
      </c>
      <c r="AE5" s="224">
        <v>0</v>
      </c>
      <c r="AF5" s="224"/>
      <c r="AG5" s="224"/>
      <c r="AH5" s="224"/>
      <c r="AI5" s="224"/>
      <c r="AJ5" s="179"/>
      <c r="AK5" s="179"/>
      <c r="AL5" s="179"/>
      <c r="AM5" s="179"/>
      <c r="AN5" s="179"/>
      <c r="AO5" s="179"/>
      <c r="AP5" s="179"/>
      <c r="AQ5" s="179"/>
      <c r="AR5" s="181"/>
      <c r="AS5" s="181"/>
      <c r="AT5" s="181"/>
      <c r="AU5" s="181"/>
    </row>
    <row r="6" spans="1:3239" s="182" customFormat="1" ht="11.4" thickTop="1" thickBot="1" x14ac:dyDescent="0.25">
      <c r="A6" s="237">
        <v>3</v>
      </c>
      <c r="B6" s="238" t="s">
        <v>155</v>
      </c>
      <c r="C6" s="239">
        <v>0</v>
      </c>
      <c r="D6" s="240">
        <f>3200-3200</f>
        <v>0</v>
      </c>
      <c r="E6" s="241">
        <v>8300</v>
      </c>
      <c r="F6" s="227">
        <v>2000</v>
      </c>
      <c r="G6" s="227">
        <v>8300</v>
      </c>
      <c r="H6" s="227">
        <v>8300</v>
      </c>
      <c r="I6" s="227">
        <v>3500</v>
      </c>
      <c r="J6" s="242">
        <v>4000</v>
      </c>
      <c r="K6" s="243">
        <f>6900+1400</f>
        <v>8300</v>
      </c>
      <c r="L6" s="244">
        <v>500</v>
      </c>
      <c r="M6" s="244">
        <f>3600+4900</f>
        <v>8500</v>
      </c>
      <c r="N6" s="245">
        <f>5100+4100</f>
        <v>9200</v>
      </c>
      <c r="O6" s="227">
        <v>6000</v>
      </c>
      <c r="P6" s="228">
        <f>5900+5100</f>
        <v>11000</v>
      </c>
      <c r="Q6" s="230">
        <f>5000+3334+4166</f>
        <v>12500</v>
      </c>
      <c r="R6" s="229">
        <f t="shared" ref="R6:R69" si="4">SUM(E6,G6,H6,K6,M6,N6,P6,Q6)</f>
        <v>74400</v>
      </c>
      <c r="S6" s="226">
        <f t="shared" ref="S6:S69" si="5">SUM(F6,I6,J6,L6,O6)</f>
        <v>16000</v>
      </c>
      <c r="T6" s="400">
        <f t="shared" ref="T6:T69" si="6">SUM(E6:Q6)</f>
        <v>90400</v>
      </c>
      <c r="U6" s="246">
        <f t="shared" si="0"/>
        <v>0</v>
      </c>
      <c r="V6" s="232">
        <f t="shared" si="1"/>
        <v>0</v>
      </c>
      <c r="W6" s="233">
        <f t="shared" ref="W6:W69" si="7">IF((U6+V6)&lt;=0,0,U6+V6)</f>
        <v>0</v>
      </c>
      <c r="X6" s="234">
        <f t="shared" si="2"/>
        <v>-12500</v>
      </c>
      <c r="Y6" s="233">
        <f>U6+X6</f>
        <v>-12500</v>
      </c>
      <c r="Z6" s="247">
        <v>3</v>
      </c>
      <c r="AA6" s="236">
        <f t="shared" si="3"/>
        <v>4166</v>
      </c>
      <c r="AB6" s="172"/>
      <c r="AC6" s="172">
        <v>86234</v>
      </c>
      <c r="AD6" s="224"/>
      <c r="AE6" s="224">
        <v>0</v>
      </c>
      <c r="AF6" s="224"/>
      <c r="AG6" s="224"/>
      <c r="AH6" s="224"/>
      <c r="AI6" s="224"/>
      <c r="AJ6" s="179"/>
      <c r="AK6" s="179"/>
      <c r="AL6" s="179"/>
      <c r="AM6" s="179"/>
      <c r="AN6" s="179"/>
      <c r="AO6" s="179"/>
      <c r="AP6" s="179"/>
      <c r="AQ6" s="179"/>
      <c r="AR6" s="181"/>
      <c r="AS6" s="181"/>
      <c r="AT6" s="181"/>
      <c r="AU6" s="181"/>
    </row>
    <row r="7" spans="1:3239" s="182" customFormat="1" ht="11.4" thickTop="1" thickBot="1" x14ac:dyDescent="0.25">
      <c r="A7" s="237">
        <v>4</v>
      </c>
      <c r="B7" s="248" t="s">
        <v>3</v>
      </c>
      <c r="C7" s="224">
        <v>0</v>
      </c>
      <c r="D7" s="225">
        <v>0</v>
      </c>
      <c r="E7" s="241">
        <v>8300</v>
      </c>
      <c r="F7" s="227">
        <v>2000</v>
      </c>
      <c r="G7" s="227">
        <v>8300</v>
      </c>
      <c r="H7" s="227">
        <v>8300</v>
      </c>
      <c r="I7" s="227">
        <v>3500</v>
      </c>
      <c r="J7" s="242">
        <v>4000</v>
      </c>
      <c r="K7" s="243">
        <v>8300</v>
      </c>
      <c r="L7" s="244">
        <v>500</v>
      </c>
      <c r="M7" s="244">
        <v>8500</v>
      </c>
      <c r="N7" s="245">
        <v>9200</v>
      </c>
      <c r="O7" s="227">
        <v>6000</v>
      </c>
      <c r="P7" s="228">
        <v>11000</v>
      </c>
      <c r="Q7" s="230">
        <v>11000</v>
      </c>
      <c r="R7" s="229">
        <f t="shared" si="4"/>
        <v>72900</v>
      </c>
      <c r="S7" s="226">
        <f t="shared" si="5"/>
        <v>16000</v>
      </c>
      <c r="T7" s="400">
        <f t="shared" si="6"/>
        <v>88900</v>
      </c>
      <c r="U7" s="246">
        <f t="shared" si="0"/>
        <v>0</v>
      </c>
      <c r="V7" s="232">
        <f t="shared" si="1"/>
        <v>1500</v>
      </c>
      <c r="W7" s="233">
        <f t="shared" si="7"/>
        <v>1500</v>
      </c>
      <c r="X7" s="234">
        <f t="shared" si="2"/>
        <v>-11000</v>
      </c>
      <c r="Y7" s="233">
        <f t="shared" ref="Y7:Y69" si="8">U7+X7</f>
        <v>-11000</v>
      </c>
      <c r="Z7" s="247">
        <v>4</v>
      </c>
      <c r="AA7" s="236">
        <f t="shared" si="3"/>
        <v>0</v>
      </c>
      <c r="AB7" s="172"/>
      <c r="AC7" s="172">
        <v>88900</v>
      </c>
      <c r="AD7" s="172">
        <v>0</v>
      </c>
      <c r="AE7" s="172">
        <v>0</v>
      </c>
      <c r="AF7" s="224"/>
      <c r="AG7" s="224"/>
      <c r="AH7" s="224"/>
      <c r="AI7" s="224"/>
      <c r="AJ7" s="179"/>
      <c r="AK7" s="179"/>
      <c r="AL7" s="179"/>
      <c r="AM7" s="179"/>
      <c r="AN7" s="179"/>
      <c r="AO7" s="179"/>
      <c r="AP7" s="179"/>
      <c r="AQ7" s="179"/>
      <c r="AR7" s="181"/>
      <c r="AS7" s="181"/>
      <c r="AT7" s="181"/>
      <c r="AU7" s="181"/>
    </row>
    <row r="8" spans="1:3239" s="182" customFormat="1" ht="11.4" thickTop="1" thickBot="1" x14ac:dyDescent="0.25">
      <c r="A8" s="237">
        <v>5</v>
      </c>
      <c r="B8" s="248" t="s">
        <v>233</v>
      </c>
      <c r="C8" s="224">
        <v>0</v>
      </c>
      <c r="D8" s="225">
        <v>0</v>
      </c>
      <c r="E8" s="241">
        <v>8300</v>
      </c>
      <c r="F8" s="227">
        <v>2000</v>
      </c>
      <c r="G8" s="227">
        <v>8300</v>
      </c>
      <c r="H8" s="227">
        <v>8300</v>
      </c>
      <c r="I8" s="227">
        <v>3500</v>
      </c>
      <c r="J8" s="242">
        <f>500+1000+1000</f>
        <v>2500</v>
      </c>
      <c r="K8" s="243">
        <v>8300</v>
      </c>
      <c r="L8" s="244">
        <v>500</v>
      </c>
      <c r="M8" s="244">
        <v>8500</v>
      </c>
      <c r="N8" s="245">
        <v>9200</v>
      </c>
      <c r="O8" s="227">
        <v>6000</v>
      </c>
      <c r="P8" s="228">
        <f>8400+2600</f>
        <v>11000</v>
      </c>
      <c r="Q8" s="230">
        <f>1834+3375+3125</f>
        <v>8334</v>
      </c>
      <c r="R8" s="229">
        <f t="shared" si="4"/>
        <v>70234</v>
      </c>
      <c r="S8" s="226">
        <f t="shared" si="5"/>
        <v>14500</v>
      </c>
      <c r="T8" s="400">
        <f t="shared" si="6"/>
        <v>84734</v>
      </c>
      <c r="U8" s="246">
        <f t="shared" si="0"/>
        <v>1500</v>
      </c>
      <c r="V8" s="232">
        <f t="shared" si="1"/>
        <v>4166</v>
      </c>
      <c r="W8" s="233">
        <f t="shared" si="7"/>
        <v>5666</v>
      </c>
      <c r="X8" s="234">
        <f t="shared" si="2"/>
        <v>-8334</v>
      </c>
      <c r="Y8" s="233">
        <f t="shared" si="8"/>
        <v>-6834</v>
      </c>
      <c r="Z8" s="247">
        <v>5</v>
      </c>
      <c r="AA8" s="236">
        <f t="shared" si="3"/>
        <v>0</v>
      </c>
      <c r="AB8" s="172"/>
      <c r="AC8" s="172">
        <v>84734</v>
      </c>
      <c r="AD8" s="172">
        <v>0</v>
      </c>
      <c r="AE8" s="172">
        <v>0</v>
      </c>
      <c r="AF8" s="224"/>
      <c r="AG8" s="224"/>
      <c r="AH8" s="224"/>
      <c r="AI8" s="224"/>
      <c r="AJ8" s="179"/>
      <c r="AK8" s="179"/>
      <c r="AL8" s="179"/>
      <c r="AM8" s="179"/>
      <c r="AN8" s="179"/>
      <c r="AO8" s="179"/>
      <c r="AP8" s="179"/>
      <c r="AQ8" s="179"/>
      <c r="AR8" s="181"/>
      <c r="AS8" s="181"/>
      <c r="AT8" s="181"/>
      <c r="AU8" s="181"/>
    </row>
    <row r="9" spans="1:3239" s="182" customFormat="1" ht="11.4" thickTop="1" thickBot="1" x14ac:dyDescent="0.25">
      <c r="A9" s="237">
        <v>6</v>
      </c>
      <c r="B9" s="248" t="s">
        <v>4</v>
      </c>
      <c r="C9" s="224">
        <v>0</v>
      </c>
      <c r="D9" s="225">
        <v>0</v>
      </c>
      <c r="E9" s="241">
        <v>8300</v>
      </c>
      <c r="F9" s="227">
        <v>2000</v>
      </c>
      <c r="G9" s="227">
        <v>8300</v>
      </c>
      <c r="H9" s="227">
        <v>8300</v>
      </c>
      <c r="I9" s="227">
        <v>3500</v>
      </c>
      <c r="J9" s="242">
        <v>4000</v>
      </c>
      <c r="K9" s="243">
        <v>8300</v>
      </c>
      <c r="L9" s="244">
        <v>500</v>
      </c>
      <c r="M9" s="244">
        <v>8500</v>
      </c>
      <c r="N9" s="245">
        <v>9200</v>
      </c>
      <c r="O9" s="227"/>
      <c r="P9" s="228">
        <v>11000</v>
      </c>
      <c r="Q9" s="400">
        <f>7298.68+2083.34+1041.67+1041.67+1041.67</f>
        <v>12507.03</v>
      </c>
      <c r="R9" s="229">
        <f t="shared" si="4"/>
        <v>74407.03</v>
      </c>
      <c r="S9" s="226">
        <f t="shared" si="5"/>
        <v>10000</v>
      </c>
      <c r="T9" s="400">
        <f t="shared" si="6"/>
        <v>84407.03</v>
      </c>
      <c r="U9" s="246">
        <f t="shared" si="0"/>
        <v>6000</v>
      </c>
      <c r="V9" s="232">
        <f t="shared" si="1"/>
        <v>0</v>
      </c>
      <c r="W9" s="233">
        <f t="shared" si="7"/>
        <v>6000</v>
      </c>
      <c r="X9" s="234">
        <f t="shared" si="2"/>
        <v>-12507.029999999999</v>
      </c>
      <c r="Y9" s="233">
        <f t="shared" si="8"/>
        <v>-6507.0299999999988</v>
      </c>
      <c r="Z9" s="247">
        <v>6</v>
      </c>
      <c r="AA9" s="452">
        <f t="shared" si="3"/>
        <v>1041.6699999999983</v>
      </c>
      <c r="AB9" s="172"/>
      <c r="AC9" s="172">
        <v>83365.36</v>
      </c>
      <c r="AD9" s="172">
        <v>0</v>
      </c>
      <c r="AE9" s="172">
        <v>0</v>
      </c>
      <c r="AF9" s="224"/>
      <c r="AG9" s="224"/>
      <c r="AH9" s="224"/>
      <c r="AI9" s="224"/>
      <c r="AJ9" s="179"/>
      <c r="AK9" s="179"/>
      <c r="AL9" s="179"/>
      <c r="AM9" s="179"/>
      <c r="AN9" s="179"/>
      <c r="AO9" s="179"/>
      <c r="AP9" s="179"/>
      <c r="AQ9" s="179"/>
      <c r="AR9" s="181"/>
      <c r="AS9" s="181"/>
      <c r="AT9" s="181"/>
      <c r="AU9" s="181"/>
    </row>
    <row r="10" spans="1:3239" s="182" customFormat="1" ht="11.4" thickTop="1" thickBot="1" x14ac:dyDescent="0.25">
      <c r="A10" s="237">
        <v>7</v>
      </c>
      <c r="B10" s="248" t="s">
        <v>152</v>
      </c>
      <c r="C10" s="224">
        <v>0</v>
      </c>
      <c r="D10" s="225">
        <v>0</v>
      </c>
      <c r="E10" s="241">
        <v>8300</v>
      </c>
      <c r="F10" s="227">
        <v>2000</v>
      </c>
      <c r="G10" s="227">
        <v>8300</v>
      </c>
      <c r="H10" s="227">
        <v>8300</v>
      </c>
      <c r="I10" s="227">
        <v>3500</v>
      </c>
      <c r="J10" s="242">
        <v>4000</v>
      </c>
      <c r="K10" s="243">
        <v>8300</v>
      </c>
      <c r="L10" s="244">
        <v>500</v>
      </c>
      <c r="M10" s="244">
        <v>8500</v>
      </c>
      <c r="N10" s="245">
        <v>9200</v>
      </c>
      <c r="O10" s="227">
        <f>5300+700</f>
        <v>6000</v>
      </c>
      <c r="P10" s="228">
        <f>8250+2750</f>
        <v>11000</v>
      </c>
      <c r="Q10" s="230">
        <f>11000+1500</f>
        <v>12500</v>
      </c>
      <c r="R10" s="229">
        <f t="shared" si="4"/>
        <v>74400</v>
      </c>
      <c r="S10" s="226">
        <f t="shared" si="5"/>
        <v>16000</v>
      </c>
      <c r="T10" s="400">
        <f t="shared" si="6"/>
        <v>90400</v>
      </c>
      <c r="U10" s="246">
        <f t="shared" si="0"/>
        <v>0</v>
      </c>
      <c r="V10" s="234">
        <f t="shared" si="1"/>
        <v>0</v>
      </c>
      <c r="W10" s="246">
        <f t="shared" si="7"/>
        <v>0</v>
      </c>
      <c r="X10" s="234">
        <f t="shared" si="2"/>
        <v>-12500</v>
      </c>
      <c r="Y10" s="233">
        <f t="shared" si="8"/>
        <v>-12500</v>
      </c>
      <c r="Z10" s="247">
        <v>7</v>
      </c>
      <c r="AA10" s="236">
        <f t="shared" si="3"/>
        <v>0</v>
      </c>
      <c r="AB10" s="172"/>
      <c r="AC10" s="172">
        <v>90400</v>
      </c>
      <c r="AD10" s="172">
        <v>0</v>
      </c>
      <c r="AE10" s="172">
        <v>0</v>
      </c>
      <c r="AF10" s="224"/>
      <c r="AG10" s="224"/>
      <c r="AH10" s="224"/>
      <c r="AI10" s="224"/>
      <c r="AJ10" s="179"/>
      <c r="AK10" s="179"/>
      <c r="AL10" s="179"/>
      <c r="AM10" s="179"/>
      <c r="AN10" s="179"/>
      <c r="AO10" s="179"/>
      <c r="AP10" s="179"/>
      <c r="AQ10" s="179"/>
      <c r="AR10" s="181"/>
      <c r="AS10" s="181"/>
      <c r="AT10" s="181"/>
      <c r="AU10" s="181"/>
    </row>
    <row r="11" spans="1:3239" s="182" customFormat="1" ht="11.4" thickTop="1" thickBot="1" x14ac:dyDescent="0.25">
      <c r="A11" s="237">
        <v>8</v>
      </c>
      <c r="B11" s="248" t="s">
        <v>5</v>
      </c>
      <c r="C11" s="224">
        <v>0</v>
      </c>
      <c r="D11" s="225">
        <v>0</v>
      </c>
      <c r="E11" s="241">
        <v>8300</v>
      </c>
      <c r="F11" s="227">
        <v>2000</v>
      </c>
      <c r="G11" s="227">
        <v>8300</v>
      </c>
      <c r="H11" s="227">
        <v>8300</v>
      </c>
      <c r="I11" s="227">
        <v>3500</v>
      </c>
      <c r="J11" s="242">
        <v>4000</v>
      </c>
      <c r="K11" s="243">
        <v>8300</v>
      </c>
      <c r="L11" s="244">
        <v>500</v>
      </c>
      <c r="M11" s="244">
        <v>8500</v>
      </c>
      <c r="N11" s="245">
        <v>9200</v>
      </c>
      <c r="O11" s="227">
        <f>5300+700</f>
        <v>6000</v>
      </c>
      <c r="P11" s="228">
        <f>8250+2750</f>
        <v>11000</v>
      </c>
      <c r="Q11" s="230">
        <f>11000+1500</f>
        <v>12500</v>
      </c>
      <c r="R11" s="229">
        <f t="shared" si="4"/>
        <v>74400</v>
      </c>
      <c r="S11" s="226">
        <f t="shared" si="5"/>
        <v>16000</v>
      </c>
      <c r="T11" s="400">
        <f t="shared" si="6"/>
        <v>90400</v>
      </c>
      <c r="U11" s="246">
        <f t="shared" si="0"/>
        <v>0</v>
      </c>
      <c r="V11" s="232">
        <f t="shared" si="1"/>
        <v>0</v>
      </c>
      <c r="W11" s="233">
        <f t="shared" si="7"/>
        <v>0</v>
      </c>
      <c r="X11" s="234">
        <f t="shared" si="2"/>
        <v>-12500</v>
      </c>
      <c r="Y11" s="233">
        <f t="shared" si="8"/>
        <v>-12500</v>
      </c>
      <c r="Z11" s="247">
        <v>8</v>
      </c>
      <c r="AA11" s="236">
        <f t="shared" si="3"/>
        <v>0</v>
      </c>
      <c r="AB11" s="172"/>
      <c r="AC11" s="172">
        <v>90400</v>
      </c>
      <c r="AD11" s="172">
        <v>0</v>
      </c>
      <c r="AE11" s="172">
        <v>0</v>
      </c>
      <c r="AF11" s="224"/>
      <c r="AG11" s="224"/>
      <c r="AH11" s="224"/>
      <c r="AI11" s="224"/>
      <c r="AJ11" s="179"/>
      <c r="AK11" s="179"/>
      <c r="AL11" s="179"/>
      <c r="AM11" s="179"/>
      <c r="AN11" s="179"/>
      <c r="AO11" s="179"/>
      <c r="AP11" s="179"/>
      <c r="AQ11" s="179"/>
      <c r="AR11" s="181"/>
      <c r="AS11" s="181"/>
      <c r="AT11" s="181"/>
      <c r="AU11" s="181"/>
    </row>
    <row r="12" spans="1:3239" s="461" customFormat="1" ht="11.4" thickTop="1" thickBot="1" x14ac:dyDescent="0.25">
      <c r="A12" s="488">
        <v>9</v>
      </c>
      <c r="B12" s="478" t="s">
        <v>6</v>
      </c>
      <c r="C12" s="226">
        <v>0</v>
      </c>
      <c r="D12" s="479">
        <v>0</v>
      </c>
      <c r="E12" s="462">
        <v>8300</v>
      </c>
      <c r="F12" s="249">
        <v>2000</v>
      </c>
      <c r="G12" s="249">
        <v>8300</v>
      </c>
      <c r="H12" s="249">
        <v>8300</v>
      </c>
      <c r="I12" s="249">
        <v>3500</v>
      </c>
      <c r="J12" s="279">
        <v>3034.4</v>
      </c>
      <c r="K12" s="252">
        <f>2326.4+5973.6</f>
        <v>8300</v>
      </c>
      <c r="L12" s="252">
        <v>500</v>
      </c>
      <c r="M12" s="252">
        <v>8500</v>
      </c>
      <c r="N12" s="253">
        <f>6861+2339</f>
        <v>9200</v>
      </c>
      <c r="O12" s="249">
        <f>1200+4800</f>
        <v>6000</v>
      </c>
      <c r="P12" s="271">
        <f>1800+9200</f>
        <v>11000</v>
      </c>
      <c r="Q12" s="400">
        <f>4000+4334.4+4165.6</f>
        <v>12500</v>
      </c>
      <c r="R12" s="229">
        <f t="shared" si="4"/>
        <v>74400</v>
      </c>
      <c r="S12" s="226">
        <f t="shared" si="5"/>
        <v>15034.4</v>
      </c>
      <c r="T12" s="400">
        <f t="shared" si="6"/>
        <v>89434.4</v>
      </c>
      <c r="U12" s="480">
        <f t="shared" si="0"/>
        <v>965.60000000000036</v>
      </c>
      <c r="V12" s="481">
        <f t="shared" si="1"/>
        <v>0</v>
      </c>
      <c r="W12" s="482">
        <f t="shared" si="7"/>
        <v>965.60000000000036</v>
      </c>
      <c r="X12" s="483">
        <f t="shared" si="2"/>
        <v>-12500</v>
      </c>
      <c r="Y12" s="484">
        <f t="shared" si="8"/>
        <v>-11534.4</v>
      </c>
      <c r="Z12" s="487">
        <v>9</v>
      </c>
      <c r="AA12" s="452">
        <f t="shared" si="3"/>
        <v>16000</v>
      </c>
      <c r="AB12" s="452"/>
      <c r="AC12" s="452">
        <v>73434.399999999994</v>
      </c>
      <c r="AD12" s="452">
        <v>0</v>
      </c>
      <c r="AE12" s="452">
        <v>0</v>
      </c>
      <c r="AF12" s="226"/>
      <c r="AG12" s="226"/>
      <c r="AH12" s="226"/>
      <c r="AI12" s="226"/>
      <c r="AJ12" s="485"/>
      <c r="AK12" s="485"/>
      <c r="AL12" s="485"/>
      <c r="AM12" s="485"/>
      <c r="AN12" s="485"/>
      <c r="AO12" s="485"/>
      <c r="AP12" s="485"/>
      <c r="AQ12" s="485"/>
      <c r="AR12" s="486"/>
      <c r="AS12" s="486"/>
      <c r="AT12" s="486"/>
      <c r="AU12" s="486"/>
    </row>
    <row r="13" spans="1:3239" s="182" customFormat="1" ht="11.4" thickTop="1" thickBot="1" x14ac:dyDescent="0.25">
      <c r="A13" s="237">
        <v>10</v>
      </c>
      <c r="B13" s="248" t="s">
        <v>7</v>
      </c>
      <c r="C13" s="224">
        <v>0</v>
      </c>
      <c r="D13" s="225">
        <v>0</v>
      </c>
      <c r="E13" s="241">
        <v>8300</v>
      </c>
      <c r="F13" s="227">
        <v>2000</v>
      </c>
      <c r="G13" s="227">
        <v>8300</v>
      </c>
      <c r="H13" s="227">
        <v>8300</v>
      </c>
      <c r="I13" s="227">
        <v>3500</v>
      </c>
      <c r="J13" s="242">
        <v>4000</v>
      </c>
      <c r="K13" s="243">
        <v>8300</v>
      </c>
      <c r="L13" s="244">
        <v>500</v>
      </c>
      <c r="M13" s="244">
        <v>8500</v>
      </c>
      <c r="N13" s="245">
        <v>9200</v>
      </c>
      <c r="O13" s="227"/>
      <c r="P13" s="228">
        <v>11000</v>
      </c>
      <c r="Q13" s="400">
        <f>7298.68+2083.34+1041.67+1041.67+1041.67</f>
        <v>12507.03</v>
      </c>
      <c r="R13" s="229">
        <f t="shared" si="4"/>
        <v>74407.03</v>
      </c>
      <c r="S13" s="226">
        <f t="shared" si="5"/>
        <v>10000</v>
      </c>
      <c r="T13" s="400">
        <f t="shared" si="6"/>
        <v>84407.03</v>
      </c>
      <c r="U13" s="246">
        <f t="shared" si="0"/>
        <v>6000</v>
      </c>
      <c r="V13" s="232">
        <f t="shared" si="1"/>
        <v>0</v>
      </c>
      <c r="W13" s="233">
        <f t="shared" si="7"/>
        <v>6000</v>
      </c>
      <c r="X13" s="234">
        <f t="shared" si="2"/>
        <v>-12507.029999999999</v>
      </c>
      <c r="Y13" s="233">
        <f t="shared" si="8"/>
        <v>-6507.0299999999988</v>
      </c>
      <c r="Z13" s="247">
        <v>10</v>
      </c>
      <c r="AA13" s="452">
        <f t="shared" si="3"/>
        <v>1041.6699999999983</v>
      </c>
      <c r="AB13" s="172"/>
      <c r="AC13" s="172">
        <v>83365.36</v>
      </c>
      <c r="AD13" s="172">
        <v>0</v>
      </c>
      <c r="AE13" s="172">
        <v>0</v>
      </c>
      <c r="AF13" s="224"/>
      <c r="AG13" s="224"/>
      <c r="AH13" s="224"/>
      <c r="AI13" s="224"/>
      <c r="AJ13" s="179"/>
      <c r="AK13" s="179"/>
      <c r="AL13" s="179"/>
      <c r="AM13" s="179"/>
      <c r="AN13" s="179"/>
      <c r="AO13" s="179"/>
      <c r="AP13" s="179"/>
      <c r="AQ13" s="179"/>
      <c r="AR13" s="181"/>
      <c r="AS13" s="181"/>
      <c r="AT13" s="181"/>
      <c r="AU13" s="181"/>
    </row>
    <row r="14" spans="1:3239" s="182" customFormat="1" ht="11.4" thickTop="1" thickBot="1" x14ac:dyDescent="0.25">
      <c r="A14" s="237">
        <v>11</v>
      </c>
      <c r="B14" s="248" t="s">
        <v>140</v>
      </c>
      <c r="C14" s="224">
        <v>0</v>
      </c>
      <c r="D14" s="225">
        <v>0</v>
      </c>
      <c r="E14" s="241">
        <v>8300</v>
      </c>
      <c r="F14" s="227">
        <v>2000</v>
      </c>
      <c r="G14" s="227">
        <v>8300</v>
      </c>
      <c r="H14" s="227">
        <v>8300</v>
      </c>
      <c r="I14" s="227">
        <v>3500</v>
      </c>
      <c r="J14" s="242">
        <v>4000</v>
      </c>
      <c r="K14" s="243">
        <v>8300</v>
      </c>
      <c r="L14" s="244">
        <v>500</v>
      </c>
      <c r="M14" s="244">
        <v>8500</v>
      </c>
      <c r="N14" s="245">
        <v>9200</v>
      </c>
      <c r="O14" s="227"/>
      <c r="P14" s="228">
        <v>11000</v>
      </c>
      <c r="Q14" s="400">
        <f>7298.68+2083.34+1041.67+1041.67+1041.67</f>
        <v>12507.03</v>
      </c>
      <c r="R14" s="229">
        <f t="shared" si="4"/>
        <v>74407.03</v>
      </c>
      <c r="S14" s="226">
        <f t="shared" si="5"/>
        <v>10000</v>
      </c>
      <c r="T14" s="400">
        <f t="shared" si="6"/>
        <v>84407.03</v>
      </c>
      <c r="U14" s="246">
        <f t="shared" si="0"/>
        <v>6000</v>
      </c>
      <c r="V14" s="232">
        <f t="shared" si="1"/>
        <v>0</v>
      </c>
      <c r="W14" s="233">
        <f t="shared" si="7"/>
        <v>6000</v>
      </c>
      <c r="X14" s="234">
        <f t="shared" si="2"/>
        <v>-12507.029999999999</v>
      </c>
      <c r="Y14" s="233">
        <f t="shared" si="8"/>
        <v>-6507.0299999999988</v>
      </c>
      <c r="Z14" s="247">
        <v>11</v>
      </c>
      <c r="AA14" s="452">
        <f t="shared" si="3"/>
        <v>1041.6699999999983</v>
      </c>
      <c r="AB14" s="172"/>
      <c r="AC14" s="172">
        <v>83365.36</v>
      </c>
      <c r="AD14" s="172">
        <v>0</v>
      </c>
      <c r="AE14" s="172">
        <v>0</v>
      </c>
      <c r="AF14" s="224"/>
      <c r="AG14" s="224"/>
      <c r="AH14" s="224"/>
      <c r="AI14" s="224"/>
      <c r="AJ14" s="179"/>
      <c r="AK14" s="179"/>
      <c r="AL14" s="179"/>
      <c r="AM14" s="179"/>
      <c r="AN14" s="179"/>
      <c r="AO14" s="179"/>
      <c r="AP14" s="179"/>
      <c r="AQ14" s="179"/>
      <c r="AR14" s="181"/>
      <c r="AS14" s="181"/>
      <c r="AT14" s="181"/>
      <c r="AU14" s="181"/>
    </row>
    <row r="15" spans="1:3239" s="182" customFormat="1" ht="11.4" thickTop="1" thickBot="1" x14ac:dyDescent="0.25">
      <c r="A15" s="237">
        <v>12</v>
      </c>
      <c r="B15" s="248" t="s">
        <v>8</v>
      </c>
      <c r="C15" s="224">
        <v>0</v>
      </c>
      <c r="D15" s="225">
        <v>0</v>
      </c>
      <c r="E15" s="241">
        <v>8300</v>
      </c>
      <c r="F15" s="227">
        <v>2000</v>
      </c>
      <c r="G15" s="227">
        <v>8300</v>
      </c>
      <c r="H15" s="227">
        <v>8300</v>
      </c>
      <c r="I15" s="227">
        <v>3500</v>
      </c>
      <c r="J15" s="242">
        <v>4000</v>
      </c>
      <c r="K15" s="243">
        <v>8300</v>
      </c>
      <c r="L15" s="244">
        <v>500</v>
      </c>
      <c r="M15" s="244">
        <v>8500</v>
      </c>
      <c r="N15" s="245">
        <v>9200</v>
      </c>
      <c r="O15" s="227">
        <v>6000</v>
      </c>
      <c r="P15" s="228">
        <f>2750+8250</f>
        <v>11000</v>
      </c>
      <c r="Q15" s="230">
        <v>12500</v>
      </c>
      <c r="R15" s="229">
        <f t="shared" si="4"/>
        <v>74400</v>
      </c>
      <c r="S15" s="226">
        <f t="shared" si="5"/>
        <v>16000</v>
      </c>
      <c r="T15" s="400">
        <f t="shared" si="6"/>
        <v>90400</v>
      </c>
      <c r="U15" s="246">
        <f t="shared" si="0"/>
        <v>0</v>
      </c>
      <c r="V15" s="232">
        <f t="shared" si="1"/>
        <v>0</v>
      </c>
      <c r="W15" s="233">
        <f t="shared" si="7"/>
        <v>0</v>
      </c>
      <c r="X15" s="234">
        <f t="shared" si="2"/>
        <v>-12500</v>
      </c>
      <c r="Y15" s="233">
        <f t="shared" si="8"/>
        <v>-12500</v>
      </c>
      <c r="Z15" s="247">
        <v>12</v>
      </c>
      <c r="AA15" s="236">
        <f t="shared" si="3"/>
        <v>12500</v>
      </c>
      <c r="AB15" s="172"/>
      <c r="AC15" s="172">
        <v>77900</v>
      </c>
      <c r="AD15" s="172">
        <v>0</v>
      </c>
      <c r="AE15" s="172">
        <v>0</v>
      </c>
      <c r="AF15" s="224"/>
      <c r="AG15" s="224"/>
      <c r="AH15" s="224"/>
      <c r="AI15" s="224"/>
      <c r="AJ15" s="179"/>
      <c r="AK15" s="179"/>
      <c r="AL15" s="179"/>
      <c r="AM15" s="179"/>
      <c r="AN15" s="179"/>
      <c r="AO15" s="179"/>
      <c r="AP15" s="179"/>
      <c r="AQ15" s="179"/>
      <c r="AR15" s="181"/>
      <c r="AS15" s="181"/>
      <c r="AT15" s="181"/>
      <c r="AU15" s="181"/>
    </row>
    <row r="16" spans="1:3239" s="182" customFormat="1" ht="11.4" thickTop="1" thickBot="1" x14ac:dyDescent="0.25">
      <c r="A16" s="237">
        <v>13</v>
      </c>
      <c r="B16" s="248" t="s">
        <v>8</v>
      </c>
      <c r="C16" s="224">
        <v>0</v>
      </c>
      <c r="D16" s="225">
        <v>0</v>
      </c>
      <c r="E16" s="241">
        <v>8300</v>
      </c>
      <c r="F16" s="227">
        <v>2000</v>
      </c>
      <c r="G16" s="227">
        <v>8300</v>
      </c>
      <c r="H16" s="227">
        <v>8300</v>
      </c>
      <c r="I16" s="227">
        <v>3500</v>
      </c>
      <c r="J16" s="242">
        <f>500+3500</f>
        <v>4000</v>
      </c>
      <c r="K16" s="243">
        <v>8300</v>
      </c>
      <c r="L16" s="244">
        <v>500</v>
      </c>
      <c r="M16" s="244">
        <v>8500</v>
      </c>
      <c r="N16" s="245">
        <v>9200</v>
      </c>
      <c r="O16" s="227">
        <v>6000</v>
      </c>
      <c r="P16" s="228">
        <f>2750+8250</f>
        <v>11000</v>
      </c>
      <c r="Q16" s="230">
        <v>12500</v>
      </c>
      <c r="R16" s="229">
        <f>SUM(E16,G16,H16,K16,M16,N16,P16,Q16)</f>
        <v>74400</v>
      </c>
      <c r="S16" s="226">
        <f t="shared" si="5"/>
        <v>16000</v>
      </c>
      <c r="T16" s="400">
        <f t="shared" si="6"/>
        <v>90400</v>
      </c>
      <c r="U16" s="246">
        <f t="shared" si="0"/>
        <v>0</v>
      </c>
      <c r="V16" s="232">
        <f t="shared" si="1"/>
        <v>0</v>
      </c>
      <c r="W16" s="233">
        <f t="shared" si="7"/>
        <v>0</v>
      </c>
      <c r="X16" s="234">
        <f t="shared" si="2"/>
        <v>-12500</v>
      </c>
      <c r="Y16" s="233">
        <f t="shared" si="8"/>
        <v>-12500</v>
      </c>
      <c r="Z16" s="247">
        <v>13</v>
      </c>
      <c r="AA16" s="236">
        <f t="shared" si="3"/>
        <v>16000</v>
      </c>
      <c r="AB16" s="172"/>
      <c r="AC16" s="172">
        <v>74400</v>
      </c>
      <c r="AD16" s="172">
        <v>0</v>
      </c>
      <c r="AE16" s="172">
        <v>0</v>
      </c>
      <c r="AF16" s="224"/>
      <c r="AG16" s="224"/>
      <c r="AH16" s="224"/>
      <c r="AI16" s="224"/>
      <c r="AJ16" s="179"/>
      <c r="AK16" s="179"/>
      <c r="AL16" s="179"/>
      <c r="AM16" s="179"/>
      <c r="AN16" s="179"/>
      <c r="AO16" s="179"/>
      <c r="AP16" s="179"/>
      <c r="AQ16" s="179"/>
      <c r="AR16" s="181"/>
      <c r="AS16" s="181"/>
      <c r="AT16" s="181"/>
      <c r="AU16" s="181"/>
    </row>
    <row r="17" spans="1:47" s="182" customFormat="1" ht="11.4" thickTop="1" thickBot="1" x14ac:dyDescent="0.25">
      <c r="A17" s="237">
        <v>14</v>
      </c>
      <c r="B17" s="238" t="s">
        <v>9</v>
      </c>
      <c r="C17" s="224">
        <v>0</v>
      </c>
      <c r="D17" s="225">
        <v>0</v>
      </c>
      <c r="E17" s="241">
        <v>8300</v>
      </c>
      <c r="F17" s="227">
        <v>2000</v>
      </c>
      <c r="G17" s="227">
        <v>8300</v>
      </c>
      <c r="H17" s="227">
        <v>8300</v>
      </c>
      <c r="I17" s="227">
        <v>3500</v>
      </c>
      <c r="J17" s="242">
        <v>700</v>
      </c>
      <c r="K17" s="243">
        <v>8300</v>
      </c>
      <c r="L17" s="244">
        <v>500</v>
      </c>
      <c r="M17" s="244">
        <v>8500</v>
      </c>
      <c r="N17" s="245">
        <v>9200</v>
      </c>
      <c r="O17" s="227">
        <v>6000</v>
      </c>
      <c r="P17" s="228">
        <v>11000</v>
      </c>
      <c r="Q17" s="230">
        <f>6282+1050+1050+1050+1050+1050+1040</f>
        <v>12572</v>
      </c>
      <c r="R17" s="229">
        <f t="shared" si="4"/>
        <v>74472</v>
      </c>
      <c r="S17" s="226">
        <f t="shared" si="5"/>
        <v>12700</v>
      </c>
      <c r="T17" s="400">
        <f t="shared" si="6"/>
        <v>87172</v>
      </c>
      <c r="U17" s="246">
        <f t="shared" si="0"/>
        <v>3300</v>
      </c>
      <c r="V17" s="232">
        <f t="shared" si="1"/>
        <v>0</v>
      </c>
      <c r="W17" s="233">
        <f t="shared" si="7"/>
        <v>3300</v>
      </c>
      <c r="X17" s="234">
        <f t="shared" si="2"/>
        <v>-12572</v>
      </c>
      <c r="Y17" s="233">
        <f t="shared" si="8"/>
        <v>-9272</v>
      </c>
      <c r="Z17" s="247">
        <v>14</v>
      </c>
      <c r="AA17" s="236">
        <f t="shared" si="3"/>
        <v>1040</v>
      </c>
      <c r="AB17" s="172"/>
      <c r="AC17" s="172">
        <v>86132</v>
      </c>
      <c r="AD17" s="172">
        <v>0</v>
      </c>
      <c r="AE17" s="172">
        <v>0</v>
      </c>
      <c r="AF17" s="224"/>
      <c r="AG17" s="224"/>
      <c r="AH17" s="224"/>
      <c r="AI17" s="224"/>
      <c r="AJ17" s="179"/>
      <c r="AK17" s="179"/>
      <c r="AL17" s="179"/>
      <c r="AM17" s="179"/>
      <c r="AN17" s="179"/>
      <c r="AO17" s="179"/>
      <c r="AP17" s="179"/>
      <c r="AQ17" s="179"/>
      <c r="AR17" s="181"/>
      <c r="AS17" s="181"/>
      <c r="AT17" s="181"/>
      <c r="AU17" s="181"/>
    </row>
    <row r="18" spans="1:47" s="182" customFormat="1" ht="11.4" thickTop="1" thickBot="1" x14ac:dyDescent="0.25">
      <c r="A18" s="237">
        <v>15</v>
      </c>
      <c r="B18" s="248" t="s">
        <v>130</v>
      </c>
      <c r="C18" s="224">
        <v>0</v>
      </c>
      <c r="D18" s="225">
        <v>0</v>
      </c>
      <c r="E18" s="241">
        <v>8300</v>
      </c>
      <c r="F18" s="227">
        <v>2000</v>
      </c>
      <c r="G18" s="227">
        <v>8300</v>
      </c>
      <c r="H18" s="227">
        <v>8300</v>
      </c>
      <c r="I18" s="227">
        <v>3500</v>
      </c>
      <c r="J18" s="242">
        <v>4000</v>
      </c>
      <c r="K18" s="243">
        <v>8300</v>
      </c>
      <c r="L18" s="244">
        <v>500</v>
      </c>
      <c r="M18" s="244">
        <v>8500</v>
      </c>
      <c r="N18" s="245">
        <v>9200</v>
      </c>
      <c r="O18" s="227">
        <v>6000</v>
      </c>
      <c r="P18" s="228">
        <f>5501+5000+499</f>
        <v>11000</v>
      </c>
      <c r="Q18" s="230">
        <f>9501+5000</f>
        <v>14501</v>
      </c>
      <c r="R18" s="229">
        <f t="shared" si="4"/>
        <v>76401</v>
      </c>
      <c r="S18" s="226">
        <f t="shared" si="5"/>
        <v>16000</v>
      </c>
      <c r="T18" s="400">
        <f t="shared" si="6"/>
        <v>92401</v>
      </c>
      <c r="U18" s="246">
        <f t="shared" si="0"/>
        <v>0</v>
      </c>
      <c r="V18" s="232">
        <f t="shared" si="1"/>
        <v>0</v>
      </c>
      <c r="W18" s="233">
        <f t="shared" si="7"/>
        <v>0</v>
      </c>
      <c r="X18" s="234">
        <f t="shared" si="2"/>
        <v>-14501</v>
      </c>
      <c r="Y18" s="233">
        <f t="shared" si="8"/>
        <v>-14501</v>
      </c>
      <c r="Z18" s="247">
        <v>15</v>
      </c>
      <c r="AA18" s="236">
        <f t="shared" si="3"/>
        <v>5000</v>
      </c>
      <c r="AB18" s="172"/>
      <c r="AC18" s="172">
        <v>87401</v>
      </c>
      <c r="AD18" s="172">
        <v>0</v>
      </c>
      <c r="AE18" s="172">
        <v>0</v>
      </c>
      <c r="AF18" s="224"/>
      <c r="AG18" s="224"/>
      <c r="AH18" s="224"/>
      <c r="AI18" s="224"/>
      <c r="AJ18" s="179"/>
      <c r="AK18" s="179"/>
      <c r="AL18" s="179"/>
      <c r="AM18" s="179"/>
      <c r="AN18" s="179"/>
      <c r="AO18" s="179"/>
      <c r="AP18" s="179"/>
      <c r="AQ18" s="179"/>
      <c r="AR18" s="181"/>
      <c r="AS18" s="181"/>
      <c r="AT18" s="181"/>
      <c r="AU18" s="181"/>
    </row>
    <row r="19" spans="1:47" s="182" customFormat="1" ht="11.4" thickTop="1" thickBot="1" x14ac:dyDescent="0.25">
      <c r="A19" s="237">
        <v>16</v>
      </c>
      <c r="B19" s="248" t="s">
        <v>555</v>
      </c>
      <c r="C19" s="224">
        <v>0</v>
      </c>
      <c r="D19" s="225">
        <v>0</v>
      </c>
      <c r="E19" s="241">
        <v>8300</v>
      </c>
      <c r="F19" s="227">
        <v>2000</v>
      </c>
      <c r="G19" s="227">
        <v>8300</v>
      </c>
      <c r="H19" s="227">
        <v>8300</v>
      </c>
      <c r="I19" s="227">
        <v>3500</v>
      </c>
      <c r="J19" s="242">
        <v>4000</v>
      </c>
      <c r="K19" s="243">
        <v>8300</v>
      </c>
      <c r="L19" s="244">
        <v>500</v>
      </c>
      <c r="M19" s="244">
        <v>8500</v>
      </c>
      <c r="N19" s="245">
        <f>6900+2300</f>
        <v>9200</v>
      </c>
      <c r="O19" s="227">
        <v>6000</v>
      </c>
      <c r="P19" s="228">
        <v>11000</v>
      </c>
      <c r="Q19" s="230">
        <f>1700+2467</f>
        <v>4167</v>
      </c>
      <c r="R19" s="229">
        <f t="shared" si="4"/>
        <v>66067</v>
      </c>
      <c r="S19" s="226">
        <f t="shared" si="5"/>
        <v>16000</v>
      </c>
      <c r="T19" s="400">
        <f t="shared" si="6"/>
        <v>82067</v>
      </c>
      <c r="U19" s="246">
        <f t="shared" si="0"/>
        <v>0</v>
      </c>
      <c r="V19" s="232">
        <f t="shared" si="1"/>
        <v>8333</v>
      </c>
      <c r="W19" s="233">
        <f t="shared" si="7"/>
        <v>8333</v>
      </c>
      <c r="X19" s="234">
        <f t="shared" si="2"/>
        <v>-4167</v>
      </c>
      <c r="Y19" s="233">
        <f t="shared" si="8"/>
        <v>-4167</v>
      </c>
      <c r="Z19" s="247">
        <v>16</v>
      </c>
      <c r="AA19" s="236">
        <f t="shared" si="3"/>
        <v>0</v>
      </c>
      <c r="AB19" s="172"/>
      <c r="AC19" s="172">
        <v>82067</v>
      </c>
      <c r="AD19" s="172">
        <v>0</v>
      </c>
      <c r="AE19" s="172">
        <v>0</v>
      </c>
      <c r="AF19" s="224"/>
      <c r="AG19" s="224"/>
      <c r="AH19" s="224"/>
      <c r="AI19" s="224"/>
      <c r="AJ19" s="179"/>
      <c r="AK19" s="179"/>
      <c r="AL19" s="179"/>
      <c r="AM19" s="179"/>
      <c r="AN19" s="179"/>
      <c r="AO19" s="179"/>
      <c r="AP19" s="179"/>
      <c r="AQ19" s="179"/>
      <c r="AR19" s="181"/>
      <c r="AS19" s="181"/>
      <c r="AT19" s="181"/>
      <c r="AU19" s="181"/>
    </row>
    <row r="20" spans="1:47" s="182" customFormat="1" ht="11.4" thickTop="1" thickBot="1" x14ac:dyDescent="0.25">
      <c r="A20" s="237">
        <v>17</v>
      </c>
      <c r="B20" s="248" t="s">
        <v>132</v>
      </c>
      <c r="C20" s="224">
        <v>0</v>
      </c>
      <c r="D20" s="225">
        <v>0</v>
      </c>
      <c r="E20" s="241">
        <v>8300</v>
      </c>
      <c r="F20" s="227">
        <v>2000</v>
      </c>
      <c r="G20" s="227">
        <v>8300</v>
      </c>
      <c r="H20" s="227">
        <v>8300</v>
      </c>
      <c r="I20" s="227">
        <v>3500</v>
      </c>
      <c r="J20" s="242">
        <v>4000</v>
      </c>
      <c r="K20" s="243">
        <v>8300</v>
      </c>
      <c r="L20" s="244">
        <v>500</v>
      </c>
      <c r="M20" s="244">
        <v>8500</v>
      </c>
      <c r="N20" s="245">
        <v>9200</v>
      </c>
      <c r="O20" s="227">
        <v>6000</v>
      </c>
      <c r="P20" s="228">
        <f>4600+6400</f>
        <v>11000</v>
      </c>
      <c r="Q20" s="230">
        <v>10417</v>
      </c>
      <c r="R20" s="229">
        <f t="shared" si="4"/>
        <v>72317</v>
      </c>
      <c r="S20" s="226">
        <f t="shared" si="5"/>
        <v>16000</v>
      </c>
      <c r="T20" s="400">
        <f t="shared" si="6"/>
        <v>88317</v>
      </c>
      <c r="U20" s="246">
        <f t="shared" si="0"/>
        <v>0</v>
      </c>
      <c r="V20" s="232">
        <f t="shared" si="1"/>
        <v>2083</v>
      </c>
      <c r="W20" s="233">
        <f t="shared" si="7"/>
        <v>2083</v>
      </c>
      <c r="X20" s="234">
        <f t="shared" si="2"/>
        <v>-10417</v>
      </c>
      <c r="Y20" s="233">
        <f t="shared" si="8"/>
        <v>-10417</v>
      </c>
      <c r="Z20" s="247">
        <v>17</v>
      </c>
      <c r="AA20" s="236">
        <f t="shared" si="3"/>
        <v>0</v>
      </c>
      <c r="AB20" s="172"/>
      <c r="AC20" s="172">
        <v>88317</v>
      </c>
      <c r="AD20" s="172">
        <v>0</v>
      </c>
      <c r="AE20" s="172">
        <v>0</v>
      </c>
      <c r="AF20" s="224"/>
      <c r="AG20" s="224"/>
      <c r="AH20" s="224"/>
      <c r="AI20" s="224"/>
      <c r="AJ20" s="179"/>
      <c r="AK20" s="179"/>
      <c r="AL20" s="179"/>
      <c r="AM20" s="179"/>
      <c r="AN20" s="179"/>
      <c r="AO20" s="179"/>
      <c r="AP20" s="179"/>
      <c r="AQ20" s="179"/>
      <c r="AR20" s="181"/>
      <c r="AS20" s="181"/>
      <c r="AT20" s="181"/>
      <c r="AU20" s="181"/>
    </row>
    <row r="21" spans="1:47" s="182" customFormat="1" ht="11.4" thickTop="1" thickBot="1" x14ac:dyDescent="0.25">
      <c r="A21" s="237">
        <v>18</v>
      </c>
      <c r="B21" s="248" t="s">
        <v>556</v>
      </c>
      <c r="C21" s="224">
        <v>0</v>
      </c>
      <c r="D21" s="225">
        <v>0</v>
      </c>
      <c r="E21" s="241">
        <v>8300</v>
      </c>
      <c r="F21" s="227">
        <v>2000</v>
      </c>
      <c r="G21" s="227">
        <v>8300</v>
      </c>
      <c r="H21" s="227">
        <v>8300</v>
      </c>
      <c r="I21" s="227">
        <v>3500</v>
      </c>
      <c r="J21" s="242">
        <v>4000</v>
      </c>
      <c r="K21" s="243">
        <v>8300</v>
      </c>
      <c r="L21" s="244">
        <v>500</v>
      </c>
      <c r="M21" s="244">
        <v>8500</v>
      </c>
      <c r="N21" s="245">
        <v>9200</v>
      </c>
      <c r="O21" s="227">
        <v>6000</v>
      </c>
      <c r="P21" s="228">
        <f>5500+5500</f>
        <v>11000</v>
      </c>
      <c r="Q21" s="230">
        <f>6250+6250</f>
        <v>12500</v>
      </c>
      <c r="R21" s="229">
        <f t="shared" si="4"/>
        <v>74400</v>
      </c>
      <c r="S21" s="226">
        <f t="shared" si="5"/>
        <v>16000</v>
      </c>
      <c r="T21" s="400">
        <f t="shared" si="6"/>
        <v>90400</v>
      </c>
      <c r="U21" s="246">
        <f t="shared" si="0"/>
        <v>0</v>
      </c>
      <c r="V21" s="232">
        <f t="shared" si="1"/>
        <v>0</v>
      </c>
      <c r="W21" s="233">
        <f t="shared" si="7"/>
        <v>0</v>
      </c>
      <c r="X21" s="234">
        <f t="shared" si="2"/>
        <v>-12500</v>
      </c>
      <c r="Y21" s="233">
        <f t="shared" si="8"/>
        <v>-12500</v>
      </c>
      <c r="Z21" s="247">
        <v>18</v>
      </c>
      <c r="AA21" s="236">
        <f t="shared" si="3"/>
        <v>0</v>
      </c>
      <c r="AB21" s="172"/>
      <c r="AC21" s="172">
        <v>90400</v>
      </c>
      <c r="AD21" s="172">
        <v>0</v>
      </c>
      <c r="AE21" s="172">
        <v>0</v>
      </c>
      <c r="AF21" s="224"/>
      <c r="AG21" s="224"/>
      <c r="AH21" s="224"/>
      <c r="AI21" s="224"/>
      <c r="AJ21" s="179"/>
      <c r="AK21" s="179"/>
      <c r="AL21" s="179"/>
      <c r="AM21" s="179"/>
      <c r="AN21" s="179"/>
      <c r="AO21" s="179"/>
      <c r="AP21" s="179"/>
      <c r="AQ21" s="179"/>
      <c r="AR21" s="181"/>
      <c r="AS21" s="181"/>
      <c r="AT21" s="181"/>
      <c r="AU21" s="181"/>
    </row>
    <row r="22" spans="1:47" s="182" customFormat="1" ht="11.4" thickTop="1" thickBot="1" x14ac:dyDescent="0.25">
      <c r="A22" s="237">
        <v>19</v>
      </c>
      <c r="B22" s="248" t="s">
        <v>10</v>
      </c>
      <c r="C22" s="224">
        <v>0</v>
      </c>
      <c r="D22" s="225">
        <v>0</v>
      </c>
      <c r="E22" s="241">
        <v>8300</v>
      </c>
      <c r="F22" s="227">
        <v>2000</v>
      </c>
      <c r="G22" s="227">
        <v>8300</v>
      </c>
      <c r="H22" s="227">
        <v>8300</v>
      </c>
      <c r="I22" s="227">
        <v>3500</v>
      </c>
      <c r="J22" s="242">
        <v>4000</v>
      </c>
      <c r="K22" s="243">
        <v>8300</v>
      </c>
      <c r="L22" s="244">
        <v>500</v>
      </c>
      <c r="M22" s="244">
        <v>8500</v>
      </c>
      <c r="N22" s="245">
        <v>9200</v>
      </c>
      <c r="O22" s="227">
        <v>6000</v>
      </c>
      <c r="P22" s="228">
        <v>11000</v>
      </c>
      <c r="Q22" s="230">
        <f>5000+4000</f>
        <v>9000</v>
      </c>
      <c r="R22" s="229">
        <f t="shared" si="4"/>
        <v>70900</v>
      </c>
      <c r="S22" s="226">
        <f t="shared" si="5"/>
        <v>16000</v>
      </c>
      <c r="T22" s="400">
        <f t="shared" si="6"/>
        <v>86900</v>
      </c>
      <c r="U22" s="246">
        <f t="shared" si="0"/>
        <v>0</v>
      </c>
      <c r="V22" s="232">
        <f t="shared" si="1"/>
        <v>3500</v>
      </c>
      <c r="W22" s="233">
        <f t="shared" si="7"/>
        <v>3500</v>
      </c>
      <c r="X22" s="234">
        <f t="shared" si="2"/>
        <v>-9000</v>
      </c>
      <c r="Y22" s="233">
        <f t="shared" si="8"/>
        <v>-9000</v>
      </c>
      <c r="Z22" s="247">
        <v>19</v>
      </c>
      <c r="AA22" s="236">
        <f t="shared" si="3"/>
        <v>0</v>
      </c>
      <c r="AB22" s="172"/>
      <c r="AC22" s="172">
        <v>86900</v>
      </c>
      <c r="AD22" s="172">
        <v>0</v>
      </c>
      <c r="AE22" s="172">
        <v>0</v>
      </c>
      <c r="AF22" s="224"/>
      <c r="AG22" s="224"/>
      <c r="AH22" s="224"/>
      <c r="AI22" s="224"/>
      <c r="AJ22" s="179"/>
      <c r="AK22" s="179"/>
      <c r="AL22" s="179"/>
      <c r="AM22" s="179"/>
      <c r="AN22" s="179"/>
      <c r="AO22" s="179"/>
      <c r="AP22" s="179"/>
      <c r="AQ22" s="179"/>
      <c r="AR22" s="181"/>
      <c r="AS22" s="181"/>
      <c r="AT22" s="181"/>
      <c r="AU22" s="181"/>
    </row>
    <row r="23" spans="1:47" s="182" customFormat="1" ht="11.4" thickTop="1" thickBot="1" x14ac:dyDescent="0.25">
      <c r="A23" s="237">
        <v>20</v>
      </c>
      <c r="B23" s="248" t="s">
        <v>11</v>
      </c>
      <c r="C23" s="224">
        <v>0</v>
      </c>
      <c r="D23" s="225">
        <v>0</v>
      </c>
      <c r="E23" s="241">
        <v>8300</v>
      </c>
      <c r="F23" s="227">
        <v>2000</v>
      </c>
      <c r="G23" s="227">
        <v>8300</v>
      </c>
      <c r="H23" s="227">
        <v>8300</v>
      </c>
      <c r="I23" s="227">
        <v>3500</v>
      </c>
      <c r="J23" s="242">
        <f>1500+2500</f>
        <v>4000</v>
      </c>
      <c r="K23" s="243">
        <v>8300</v>
      </c>
      <c r="L23" s="244">
        <v>500</v>
      </c>
      <c r="M23" s="244">
        <v>8500</v>
      </c>
      <c r="N23" s="245">
        <v>9200</v>
      </c>
      <c r="O23" s="227">
        <v>6000</v>
      </c>
      <c r="P23" s="228">
        <v>11000</v>
      </c>
      <c r="Q23" s="230">
        <v>11000</v>
      </c>
      <c r="R23" s="229">
        <f t="shared" si="4"/>
        <v>72900</v>
      </c>
      <c r="S23" s="226">
        <f t="shared" si="5"/>
        <v>16000</v>
      </c>
      <c r="T23" s="400">
        <f t="shared" si="6"/>
        <v>88900</v>
      </c>
      <c r="U23" s="246">
        <f t="shared" si="0"/>
        <v>0</v>
      </c>
      <c r="V23" s="232">
        <f t="shared" si="1"/>
        <v>1500</v>
      </c>
      <c r="W23" s="233">
        <f t="shared" si="7"/>
        <v>1500</v>
      </c>
      <c r="X23" s="234">
        <f t="shared" si="2"/>
        <v>-11000</v>
      </c>
      <c r="Y23" s="233">
        <f t="shared" si="8"/>
        <v>-11000</v>
      </c>
      <c r="Z23" s="247">
        <v>20</v>
      </c>
      <c r="AA23" s="236">
        <f t="shared" si="3"/>
        <v>0</v>
      </c>
      <c r="AB23" s="172"/>
      <c r="AC23" s="172">
        <v>88900</v>
      </c>
      <c r="AD23" s="172">
        <v>0</v>
      </c>
      <c r="AE23" s="172">
        <v>0</v>
      </c>
      <c r="AF23" s="224"/>
      <c r="AG23" s="224"/>
      <c r="AH23" s="224"/>
      <c r="AI23" s="224"/>
      <c r="AJ23" s="179"/>
      <c r="AK23" s="179"/>
      <c r="AL23" s="179"/>
      <c r="AM23" s="179"/>
      <c r="AN23" s="179"/>
      <c r="AO23" s="179"/>
      <c r="AP23" s="179"/>
      <c r="AQ23" s="179"/>
      <c r="AR23" s="181"/>
      <c r="AS23" s="181"/>
      <c r="AT23" s="181"/>
      <c r="AU23" s="181"/>
    </row>
    <row r="24" spans="1:47" s="182" customFormat="1" ht="11.4" thickTop="1" thickBot="1" x14ac:dyDescent="0.25">
      <c r="A24" s="237">
        <v>21</v>
      </c>
      <c r="B24" s="248" t="s">
        <v>12</v>
      </c>
      <c r="C24" s="224">
        <v>0</v>
      </c>
      <c r="D24" s="225">
        <v>0</v>
      </c>
      <c r="E24" s="241">
        <v>8300</v>
      </c>
      <c r="F24" s="227">
        <v>2000</v>
      </c>
      <c r="G24" s="227">
        <v>8300</v>
      </c>
      <c r="H24" s="227">
        <v>8300</v>
      </c>
      <c r="I24" s="227">
        <v>3500</v>
      </c>
      <c r="J24" s="242">
        <v>4000</v>
      </c>
      <c r="K24" s="243">
        <v>8300</v>
      </c>
      <c r="L24" s="244">
        <v>500</v>
      </c>
      <c r="M24" s="244">
        <v>8499</v>
      </c>
      <c r="N24" s="245">
        <f>4600+4600</f>
        <v>9200</v>
      </c>
      <c r="O24" s="227">
        <v>6000</v>
      </c>
      <c r="P24" s="228">
        <v>11000</v>
      </c>
      <c r="Q24" s="230"/>
      <c r="R24" s="229">
        <f t="shared" si="4"/>
        <v>61899</v>
      </c>
      <c r="S24" s="226">
        <f t="shared" si="5"/>
        <v>16000</v>
      </c>
      <c r="T24" s="400">
        <f t="shared" si="6"/>
        <v>77899</v>
      </c>
      <c r="U24" s="246">
        <f t="shared" si="0"/>
        <v>0</v>
      </c>
      <c r="V24" s="232">
        <f t="shared" si="1"/>
        <v>12501</v>
      </c>
      <c r="W24" s="233">
        <f t="shared" si="7"/>
        <v>12501</v>
      </c>
      <c r="X24" s="234">
        <f t="shared" si="2"/>
        <v>1</v>
      </c>
      <c r="Y24" s="233">
        <f t="shared" si="8"/>
        <v>1</v>
      </c>
      <c r="Z24" s="247">
        <v>21</v>
      </c>
      <c r="AA24" s="236">
        <f t="shared" si="3"/>
        <v>0</v>
      </c>
      <c r="AB24" s="172"/>
      <c r="AC24" s="172">
        <v>77899</v>
      </c>
      <c r="AD24" s="172">
        <v>0</v>
      </c>
      <c r="AE24" s="172">
        <v>0</v>
      </c>
      <c r="AF24" s="224"/>
      <c r="AG24" s="224"/>
      <c r="AH24" s="224"/>
      <c r="AI24" s="224"/>
      <c r="AJ24" s="179"/>
      <c r="AK24" s="179"/>
      <c r="AL24" s="179"/>
      <c r="AM24" s="179"/>
      <c r="AN24" s="179"/>
      <c r="AO24" s="179"/>
      <c r="AP24" s="179"/>
      <c r="AQ24" s="179"/>
      <c r="AR24" s="181"/>
      <c r="AS24" s="181"/>
      <c r="AT24" s="181"/>
      <c r="AU24" s="181"/>
    </row>
    <row r="25" spans="1:47" s="182" customFormat="1" ht="11.4" thickTop="1" thickBot="1" x14ac:dyDescent="0.25">
      <c r="A25" s="237">
        <v>22</v>
      </c>
      <c r="B25" s="248" t="s">
        <v>13</v>
      </c>
      <c r="C25" s="224">
        <v>0</v>
      </c>
      <c r="D25" s="225">
        <v>0</v>
      </c>
      <c r="E25" s="241">
        <v>8300</v>
      </c>
      <c r="F25" s="227">
        <v>2000</v>
      </c>
      <c r="G25" s="227">
        <v>8300</v>
      </c>
      <c r="H25" s="227">
        <v>8300</v>
      </c>
      <c r="I25" s="227">
        <v>3500</v>
      </c>
      <c r="J25" s="242">
        <v>500</v>
      </c>
      <c r="K25" s="243">
        <v>8300</v>
      </c>
      <c r="L25" s="244">
        <v>500</v>
      </c>
      <c r="M25" s="244">
        <v>8500</v>
      </c>
      <c r="N25" s="245">
        <v>9200</v>
      </c>
      <c r="O25" s="227">
        <f>3000+3000</f>
        <v>6000</v>
      </c>
      <c r="P25" s="228">
        <f>5500+5500</f>
        <v>11000</v>
      </c>
      <c r="Q25" s="230">
        <f>6250+6250</f>
        <v>12500</v>
      </c>
      <c r="R25" s="229">
        <f t="shared" si="4"/>
        <v>74400</v>
      </c>
      <c r="S25" s="226">
        <f t="shared" si="5"/>
        <v>12500</v>
      </c>
      <c r="T25" s="400">
        <f t="shared" si="6"/>
        <v>86900</v>
      </c>
      <c r="U25" s="246">
        <f t="shared" si="0"/>
        <v>3500</v>
      </c>
      <c r="V25" s="232">
        <f t="shared" si="1"/>
        <v>0</v>
      </c>
      <c r="W25" s="233">
        <f t="shared" si="7"/>
        <v>3500</v>
      </c>
      <c r="X25" s="234">
        <f t="shared" si="2"/>
        <v>-12500</v>
      </c>
      <c r="Y25" s="233">
        <f t="shared" si="8"/>
        <v>-9000</v>
      </c>
      <c r="Z25" s="247">
        <v>22</v>
      </c>
      <c r="AA25" s="236">
        <f t="shared" si="3"/>
        <v>0</v>
      </c>
      <c r="AB25" s="172"/>
      <c r="AC25" s="172">
        <v>86900</v>
      </c>
      <c r="AD25" s="172">
        <v>0</v>
      </c>
      <c r="AE25" s="172">
        <v>0</v>
      </c>
      <c r="AF25" s="224"/>
      <c r="AG25" s="224"/>
      <c r="AH25" s="224"/>
      <c r="AI25" s="224"/>
      <c r="AJ25" s="179"/>
      <c r="AK25" s="179"/>
      <c r="AL25" s="179"/>
      <c r="AM25" s="179"/>
      <c r="AN25" s="179"/>
      <c r="AO25" s="179"/>
      <c r="AP25" s="179"/>
      <c r="AQ25" s="179"/>
      <c r="AR25" s="181"/>
      <c r="AS25" s="181"/>
      <c r="AT25" s="181"/>
      <c r="AU25" s="181"/>
    </row>
    <row r="26" spans="1:47" s="182" customFormat="1" ht="11.4" thickTop="1" thickBot="1" x14ac:dyDescent="0.25">
      <c r="A26" s="237">
        <v>23</v>
      </c>
      <c r="B26" s="248" t="s">
        <v>14</v>
      </c>
      <c r="C26" s="224">
        <v>0</v>
      </c>
      <c r="D26" s="225">
        <v>0</v>
      </c>
      <c r="E26" s="241">
        <v>8300</v>
      </c>
      <c r="F26" s="227">
        <v>2000</v>
      </c>
      <c r="G26" s="227">
        <v>8300</v>
      </c>
      <c r="H26" s="227">
        <v>8300</v>
      </c>
      <c r="I26" s="227">
        <v>3500</v>
      </c>
      <c r="J26" s="242">
        <v>4000</v>
      </c>
      <c r="K26" s="243">
        <v>8300</v>
      </c>
      <c r="L26" s="244">
        <v>500</v>
      </c>
      <c r="M26" s="244">
        <v>8500</v>
      </c>
      <c r="N26" s="245">
        <f>100+9100</f>
        <v>9200</v>
      </c>
      <c r="O26" s="227">
        <v>6000</v>
      </c>
      <c r="P26" s="228">
        <v>11000</v>
      </c>
      <c r="Q26" s="230"/>
      <c r="R26" s="229">
        <f t="shared" si="4"/>
        <v>61900</v>
      </c>
      <c r="S26" s="226">
        <f t="shared" si="5"/>
        <v>16000</v>
      </c>
      <c r="T26" s="400">
        <f t="shared" si="6"/>
        <v>77900</v>
      </c>
      <c r="U26" s="246">
        <f t="shared" si="0"/>
        <v>0</v>
      </c>
      <c r="V26" s="232">
        <f t="shared" si="1"/>
        <v>12500</v>
      </c>
      <c r="W26" s="233">
        <f t="shared" si="7"/>
        <v>12500</v>
      </c>
      <c r="X26" s="234">
        <f t="shared" si="2"/>
        <v>0</v>
      </c>
      <c r="Y26" s="233">
        <f t="shared" si="8"/>
        <v>0</v>
      </c>
      <c r="Z26" s="247">
        <v>23</v>
      </c>
      <c r="AA26" s="236">
        <f t="shared" si="3"/>
        <v>0</v>
      </c>
      <c r="AB26" s="172"/>
      <c r="AC26" s="172">
        <v>77900</v>
      </c>
      <c r="AD26" s="172">
        <v>0</v>
      </c>
      <c r="AE26" s="172">
        <v>0</v>
      </c>
      <c r="AF26" s="224"/>
      <c r="AG26" s="224"/>
      <c r="AH26" s="224"/>
      <c r="AI26" s="224"/>
      <c r="AJ26" s="179"/>
      <c r="AK26" s="179"/>
      <c r="AL26" s="179"/>
      <c r="AM26" s="179"/>
      <c r="AN26" s="179"/>
      <c r="AO26" s="179"/>
      <c r="AP26" s="179"/>
      <c r="AQ26" s="179"/>
      <c r="AR26" s="181"/>
      <c r="AS26" s="181"/>
      <c r="AT26" s="181"/>
      <c r="AU26" s="181"/>
    </row>
    <row r="27" spans="1:47" s="182" customFormat="1" ht="11.4" thickTop="1" thickBot="1" x14ac:dyDescent="0.25">
      <c r="A27" s="237">
        <v>24</v>
      </c>
      <c r="B27" s="248" t="s">
        <v>15</v>
      </c>
      <c r="C27" s="224">
        <v>0</v>
      </c>
      <c r="D27" s="225">
        <v>0</v>
      </c>
      <c r="E27" s="241">
        <v>8300</v>
      </c>
      <c r="F27" s="227">
        <v>2000</v>
      </c>
      <c r="G27" s="227">
        <v>8300</v>
      </c>
      <c r="H27" s="227">
        <v>8300</v>
      </c>
      <c r="I27" s="227">
        <v>3500</v>
      </c>
      <c r="J27" s="242">
        <v>4000</v>
      </c>
      <c r="K27" s="243">
        <v>8300</v>
      </c>
      <c r="L27" s="244">
        <v>500</v>
      </c>
      <c r="M27" s="244">
        <v>8500</v>
      </c>
      <c r="N27" s="245">
        <v>9200</v>
      </c>
      <c r="O27" s="227">
        <v>6000</v>
      </c>
      <c r="P27" s="228">
        <f>9167</f>
        <v>9167</v>
      </c>
      <c r="Q27" s="230"/>
      <c r="R27" s="229">
        <f t="shared" si="4"/>
        <v>60067</v>
      </c>
      <c r="S27" s="226">
        <f t="shared" si="5"/>
        <v>16000</v>
      </c>
      <c r="T27" s="400">
        <f t="shared" si="6"/>
        <v>76067</v>
      </c>
      <c r="U27" s="246">
        <f t="shared" si="0"/>
        <v>0</v>
      </c>
      <c r="V27" s="232">
        <f t="shared" si="1"/>
        <v>14333</v>
      </c>
      <c r="W27" s="233">
        <f t="shared" si="7"/>
        <v>14333</v>
      </c>
      <c r="X27" s="234">
        <f t="shared" si="2"/>
        <v>1833</v>
      </c>
      <c r="Y27" s="233">
        <f t="shared" si="8"/>
        <v>1833</v>
      </c>
      <c r="Z27" s="247">
        <v>24</v>
      </c>
      <c r="AA27" s="236">
        <f t="shared" si="3"/>
        <v>0</v>
      </c>
      <c r="AB27" s="172"/>
      <c r="AC27" s="172">
        <v>76067</v>
      </c>
      <c r="AD27" s="172">
        <v>0</v>
      </c>
      <c r="AE27" s="172">
        <v>0</v>
      </c>
      <c r="AF27" s="224"/>
      <c r="AG27" s="224"/>
      <c r="AH27" s="224"/>
      <c r="AI27" s="224"/>
      <c r="AJ27" s="179"/>
      <c r="AK27" s="179"/>
      <c r="AL27" s="179"/>
      <c r="AM27" s="179"/>
      <c r="AN27" s="179"/>
      <c r="AO27" s="179"/>
      <c r="AP27" s="179"/>
      <c r="AQ27" s="179"/>
      <c r="AR27" s="181"/>
      <c r="AS27" s="181"/>
      <c r="AT27" s="181"/>
      <c r="AU27" s="181"/>
    </row>
    <row r="28" spans="1:47" s="182" customFormat="1" ht="11.4" thickTop="1" thickBot="1" x14ac:dyDescent="0.25">
      <c r="A28" s="237">
        <v>25</v>
      </c>
      <c r="B28" s="248" t="s">
        <v>149</v>
      </c>
      <c r="C28" s="224">
        <v>0</v>
      </c>
      <c r="D28" s="225">
        <v>0</v>
      </c>
      <c r="E28" s="241">
        <v>8300</v>
      </c>
      <c r="F28" s="227">
        <v>2000</v>
      </c>
      <c r="G28" s="227">
        <v>8300</v>
      </c>
      <c r="H28" s="227">
        <v>8300</v>
      </c>
      <c r="I28" s="227">
        <v>3500</v>
      </c>
      <c r="J28" s="242">
        <v>4000</v>
      </c>
      <c r="K28" s="243">
        <v>8300</v>
      </c>
      <c r="L28" s="244">
        <v>500</v>
      </c>
      <c r="M28" s="244">
        <v>8500</v>
      </c>
      <c r="N28" s="245">
        <v>8500</v>
      </c>
      <c r="O28" s="227">
        <v>6000</v>
      </c>
      <c r="P28" s="228">
        <v>11000</v>
      </c>
      <c r="Q28" s="230">
        <v>10075</v>
      </c>
      <c r="R28" s="229">
        <f t="shared" si="4"/>
        <v>71275</v>
      </c>
      <c r="S28" s="226">
        <f t="shared" si="5"/>
        <v>16000</v>
      </c>
      <c r="T28" s="400">
        <f t="shared" si="6"/>
        <v>87275</v>
      </c>
      <c r="U28" s="246">
        <f t="shared" si="0"/>
        <v>0</v>
      </c>
      <c r="V28" s="232">
        <f t="shared" si="1"/>
        <v>3125</v>
      </c>
      <c r="W28" s="233">
        <f t="shared" si="7"/>
        <v>3125</v>
      </c>
      <c r="X28" s="234">
        <f t="shared" si="2"/>
        <v>-9375</v>
      </c>
      <c r="Y28" s="233">
        <f t="shared" si="8"/>
        <v>-9375</v>
      </c>
      <c r="Z28" s="247">
        <v>25</v>
      </c>
      <c r="AA28" s="236">
        <f t="shared" si="3"/>
        <v>0</v>
      </c>
      <c r="AB28" s="172"/>
      <c r="AC28" s="172">
        <v>87275</v>
      </c>
      <c r="AD28" s="172">
        <v>0</v>
      </c>
      <c r="AE28" s="172">
        <v>0</v>
      </c>
      <c r="AF28" s="224"/>
      <c r="AG28" s="224"/>
      <c r="AH28" s="224"/>
      <c r="AI28" s="224"/>
      <c r="AJ28" s="179"/>
      <c r="AK28" s="179"/>
      <c r="AL28" s="179"/>
      <c r="AM28" s="179"/>
      <c r="AN28" s="179"/>
      <c r="AO28" s="179"/>
      <c r="AP28" s="179"/>
      <c r="AQ28" s="179"/>
      <c r="AR28" s="181"/>
      <c r="AS28" s="181"/>
      <c r="AT28" s="181"/>
      <c r="AU28" s="181"/>
    </row>
    <row r="29" spans="1:47" s="182" customFormat="1" ht="11.4" thickTop="1" thickBot="1" x14ac:dyDescent="0.25">
      <c r="A29" s="237">
        <v>26</v>
      </c>
      <c r="B29" s="248" t="s">
        <v>16</v>
      </c>
      <c r="C29" s="224">
        <v>0</v>
      </c>
      <c r="D29" s="225">
        <v>0</v>
      </c>
      <c r="E29" s="241">
        <v>8300</v>
      </c>
      <c r="F29" s="227">
        <v>2000</v>
      </c>
      <c r="G29" s="227">
        <v>8300</v>
      </c>
      <c r="H29" s="227">
        <v>8300</v>
      </c>
      <c r="I29" s="227">
        <v>3500</v>
      </c>
      <c r="J29" s="242">
        <v>4000</v>
      </c>
      <c r="K29" s="243">
        <v>8300</v>
      </c>
      <c r="L29" s="244">
        <v>500</v>
      </c>
      <c r="M29" s="244">
        <v>8500</v>
      </c>
      <c r="N29" s="245">
        <v>9200</v>
      </c>
      <c r="O29" s="227">
        <v>6000</v>
      </c>
      <c r="P29" s="228">
        <f>8250+2750</f>
        <v>11000</v>
      </c>
      <c r="Q29" s="230">
        <f>2750+3500+3125+3125</f>
        <v>12500</v>
      </c>
      <c r="R29" s="229">
        <f t="shared" si="4"/>
        <v>74400</v>
      </c>
      <c r="S29" s="226">
        <f t="shared" si="5"/>
        <v>16000</v>
      </c>
      <c r="T29" s="400">
        <f t="shared" si="6"/>
        <v>90400</v>
      </c>
      <c r="U29" s="246">
        <f t="shared" si="0"/>
        <v>0</v>
      </c>
      <c r="V29" s="232">
        <f t="shared" si="1"/>
        <v>0</v>
      </c>
      <c r="W29" s="233">
        <f t="shared" si="7"/>
        <v>0</v>
      </c>
      <c r="X29" s="234">
        <f t="shared" si="2"/>
        <v>-12500</v>
      </c>
      <c r="Y29" s="233">
        <f t="shared" si="8"/>
        <v>-12500</v>
      </c>
      <c r="Z29" s="247">
        <v>26</v>
      </c>
      <c r="AA29" s="236">
        <f t="shared" si="3"/>
        <v>0</v>
      </c>
      <c r="AB29" s="172"/>
      <c r="AC29" s="172">
        <v>90400</v>
      </c>
      <c r="AD29" s="172">
        <v>0</v>
      </c>
      <c r="AE29" s="172">
        <v>0</v>
      </c>
      <c r="AF29" s="224"/>
      <c r="AG29" s="224"/>
      <c r="AH29" s="224"/>
      <c r="AI29" s="224"/>
      <c r="AJ29" s="179"/>
      <c r="AK29" s="179"/>
      <c r="AL29" s="179"/>
      <c r="AM29" s="179"/>
      <c r="AN29" s="179"/>
      <c r="AO29" s="179"/>
      <c r="AP29" s="179"/>
      <c r="AQ29" s="179"/>
      <c r="AR29" s="181"/>
      <c r="AS29" s="181"/>
      <c r="AT29" s="181"/>
      <c r="AU29" s="181"/>
    </row>
    <row r="30" spans="1:47" s="182" customFormat="1" ht="11.4" thickTop="1" thickBot="1" x14ac:dyDescent="0.25">
      <c r="A30" s="237">
        <v>27</v>
      </c>
      <c r="B30" s="248" t="s">
        <v>17</v>
      </c>
      <c r="C30" s="224">
        <v>0</v>
      </c>
      <c r="D30" s="225">
        <v>0</v>
      </c>
      <c r="E30" s="241">
        <v>8300</v>
      </c>
      <c r="F30" s="227">
        <v>2000</v>
      </c>
      <c r="G30" s="227">
        <v>8300</v>
      </c>
      <c r="H30" s="227">
        <v>8300</v>
      </c>
      <c r="I30" s="227">
        <v>3500</v>
      </c>
      <c r="J30" s="242">
        <v>4000</v>
      </c>
      <c r="K30" s="243">
        <v>8300</v>
      </c>
      <c r="L30" s="244">
        <v>500</v>
      </c>
      <c r="M30" s="244">
        <v>8500</v>
      </c>
      <c r="N30" s="245">
        <v>9200</v>
      </c>
      <c r="O30" s="227">
        <v>6000</v>
      </c>
      <c r="P30" s="228">
        <f>5500+5500</f>
        <v>11000</v>
      </c>
      <c r="Q30" s="230">
        <v>11459</v>
      </c>
      <c r="R30" s="229">
        <f t="shared" si="4"/>
        <v>73359</v>
      </c>
      <c r="S30" s="226">
        <f t="shared" si="5"/>
        <v>16000</v>
      </c>
      <c r="T30" s="400">
        <f t="shared" si="6"/>
        <v>89359</v>
      </c>
      <c r="U30" s="246">
        <f t="shared" si="0"/>
        <v>0</v>
      </c>
      <c r="V30" s="232">
        <f t="shared" si="1"/>
        <v>1041</v>
      </c>
      <c r="W30" s="233">
        <f t="shared" si="7"/>
        <v>1041</v>
      </c>
      <c r="X30" s="234">
        <f t="shared" si="2"/>
        <v>-11459</v>
      </c>
      <c r="Y30" s="233">
        <f t="shared" si="8"/>
        <v>-11459</v>
      </c>
      <c r="Z30" s="247">
        <v>27</v>
      </c>
      <c r="AA30" s="236">
        <f t="shared" si="3"/>
        <v>11459</v>
      </c>
      <c r="AB30" s="172"/>
      <c r="AC30" s="172">
        <v>77900</v>
      </c>
      <c r="AD30" s="172">
        <v>0</v>
      </c>
      <c r="AE30" s="172">
        <v>0</v>
      </c>
      <c r="AF30" s="224"/>
      <c r="AG30" s="224"/>
      <c r="AH30" s="224"/>
      <c r="AI30" s="224"/>
      <c r="AJ30" s="179"/>
      <c r="AK30" s="179"/>
      <c r="AL30" s="179"/>
      <c r="AM30" s="179"/>
      <c r="AN30" s="179"/>
      <c r="AO30" s="179"/>
      <c r="AP30" s="179"/>
      <c r="AQ30" s="179"/>
      <c r="AR30" s="181"/>
      <c r="AS30" s="181"/>
      <c r="AT30" s="181"/>
      <c r="AU30" s="181"/>
    </row>
    <row r="31" spans="1:47" s="182" customFormat="1" ht="11.4" thickTop="1" thickBot="1" x14ac:dyDescent="0.25">
      <c r="A31" s="237">
        <v>28</v>
      </c>
      <c r="B31" s="248" t="s">
        <v>238</v>
      </c>
      <c r="C31" s="224">
        <v>0</v>
      </c>
      <c r="D31" s="225">
        <v>0</v>
      </c>
      <c r="E31" s="241">
        <v>8300</v>
      </c>
      <c r="F31" s="227">
        <v>2000</v>
      </c>
      <c r="G31" s="227">
        <v>8300</v>
      </c>
      <c r="H31" s="227">
        <v>8300</v>
      </c>
      <c r="I31" s="227">
        <v>3500</v>
      </c>
      <c r="J31" s="242">
        <v>4000</v>
      </c>
      <c r="K31" s="243">
        <v>8300</v>
      </c>
      <c r="L31" s="244">
        <v>500</v>
      </c>
      <c r="M31" s="244">
        <v>8500</v>
      </c>
      <c r="N31" s="245">
        <v>9200</v>
      </c>
      <c r="O31" s="227">
        <v>6000</v>
      </c>
      <c r="P31" s="228">
        <f>7334+3666</f>
        <v>11000</v>
      </c>
      <c r="Q31" s="230">
        <f>6250+5209</f>
        <v>11459</v>
      </c>
      <c r="R31" s="229">
        <f t="shared" si="4"/>
        <v>73359</v>
      </c>
      <c r="S31" s="226">
        <f t="shared" si="5"/>
        <v>16000</v>
      </c>
      <c r="T31" s="400">
        <f t="shared" si="6"/>
        <v>89359</v>
      </c>
      <c r="U31" s="246">
        <f t="shared" si="0"/>
        <v>0</v>
      </c>
      <c r="V31" s="232">
        <f t="shared" si="1"/>
        <v>1041</v>
      </c>
      <c r="W31" s="233">
        <f t="shared" si="7"/>
        <v>1041</v>
      </c>
      <c r="X31" s="234">
        <f t="shared" si="2"/>
        <v>-11459</v>
      </c>
      <c r="Y31" s="233">
        <f t="shared" si="8"/>
        <v>-11459</v>
      </c>
      <c r="Z31" s="247">
        <v>28</v>
      </c>
      <c r="AA31" s="236">
        <f t="shared" si="3"/>
        <v>5209</v>
      </c>
      <c r="AB31" s="172"/>
      <c r="AC31" s="172">
        <v>84150</v>
      </c>
      <c r="AD31" s="172">
        <v>0</v>
      </c>
      <c r="AE31" s="172">
        <v>0</v>
      </c>
      <c r="AF31" s="224"/>
      <c r="AG31" s="224"/>
      <c r="AH31" s="224"/>
      <c r="AI31" s="224"/>
      <c r="AJ31" s="179"/>
      <c r="AK31" s="179"/>
      <c r="AL31" s="179"/>
      <c r="AM31" s="179"/>
      <c r="AN31" s="179"/>
      <c r="AO31" s="179"/>
      <c r="AP31" s="179"/>
      <c r="AQ31" s="179"/>
      <c r="AR31" s="181"/>
      <c r="AS31" s="181"/>
      <c r="AT31" s="181"/>
      <c r="AU31" s="181"/>
    </row>
    <row r="32" spans="1:47" s="182" customFormat="1" ht="11.4" thickTop="1" thickBot="1" x14ac:dyDescent="0.25">
      <c r="A32" s="237">
        <v>29</v>
      </c>
      <c r="B32" s="248" t="s">
        <v>436</v>
      </c>
      <c r="C32" s="224">
        <v>0</v>
      </c>
      <c r="D32" s="225">
        <v>0</v>
      </c>
      <c r="E32" s="241">
        <v>8300</v>
      </c>
      <c r="F32" s="227">
        <v>2000</v>
      </c>
      <c r="G32" s="227">
        <v>8300</v>
      </c>
      <c r="H32" s="227">
        <v>8300</v>
      </c>
      <c r="I32" s="227">
        <v>3500</v>
      </c>
      <c r="J32" s="242">
        <v>4000</v>
      </c>
      <c r="K32" s="243">
        <v>8300</v>
      </c>
      <c r="L32" s="244">
        <v>500</v>
      </c>
      <c r="M32" s="244">
        <v>8500</v>
      </c>
      <c r="N32" s="245">
        <v>9200</v>
      </c>
      <c r="O32" s="227">
        <v>6000</v>
      </c>
      <c r="P32" s="228">
        <f>2751+8249</f>
        <v>11000</v>
      </c>
      <c r="Q32" s="230">
        <v>1</v>
      </c>
      <c r="R32" s="229">
        <f t="shared" si="4"/>
        <v>61901</v>
      </c>
      <c r="S32" s="226">
        <f t="shared" si="5"/>
        <v>16000</v>
      </c>
      <c r="T32" s="400">
        <f t="shared" si="6"/>
        <v>77901</v>
      </c>
      <c r="U32" s="246">
        <f t="shared" si="0"/>
        <v>0</v>
      </c>
      <c r="V32" s="232">
        <f t="shared" si="1"/>
        <v>12499</v>
      </c>
      <c r="W32" s="233">
        <f t="shared" si="7"/>
        <v>12499</v>
      </c>
      <c r="X32" s="234">
        <f t="shared" si="2"/>
        <v>-1</v>
      </c>
      <c r="Y32" s="233">
        <f t="shared" si="8"/>
        <v>-1</v>
      </c>
      <c r="Z32" s="247">
        <v>29</v>
      </c>
      <c r="AA32" s="236">
        <f t="shared" si="3"/>
        <v>0</v>
      </c>
      <c r="AB32" s="172"/>
      <c r="AC32" s="172">
        <v>77901</v>
      </c>
      <c r="AD32" s="172">
        <v>0</v>
      </c>
      <c r="AE32" s="172">
        <v>0</v>
      </c>
      <c r="AF32" s="224"/>
      <c r="AG32" s="224"/>
      <c r="AH32" s="224"/>
      <c r="AI32" s="224"/>
      <c r="AJ32" s="179"/>
      <c r="AK32" s="179"/>
      <c r="AL32" s="179"/>
      <c r="AM32" s="179"/>
      <c r="AN32" s="179"/>
      <c r="AO32" s="179"/>
      <c r="AP32" s="179"/>
      <c r="AQ32" s="179"/>
      <c r="AR32" s="181"/>
      <c r="AS32" s="181"/>
      <c r="AT32" s="181"/>
      <c r="AU32" s="181"/>
    </row>
    <row r="33" spans="1:47" s="182" customFormat="1" ht="11.4" thickTop="1" thickBot="1" x14ac:dyDescent="0.25">
      <c r="A33" s="237">
        <v>30</v>
      </c>
      <c r="B33" s="248" t="s">
        <v>18</v>
      </c>
      <c r="C33" s="224">
        <v>0</v>
      </c>
      <c r="D33" s="225">
        <v>0</v>
      </c>
      <c r="E33" s="241">
        <v>8300</v>
      </c>
      <c r="F33" s="227">
        <v>2000</v>
      </c>
      <c r="G33" s="227">
        <v>8300</v>
      </c>
      <c r="H33" s="227">
        <v>8300</v>
      </c>
      <c r="I33" s="227">
        <v>3500</v>
      </c>
      <c r="J33" s="242">
        <v>4000</v>
      </c>
      <c r="K33" s="243">
        <v>8300</v>
      </c>
      <c r="L33" s="244">
        <v>500</v>
      </c>
      <c r="M33" s="244">
        <v>8500</v>
      </c>
      <c r="N33" s="245">
        <v>9200</v>
      </c>
      <c r="O33" s="227">
        <v>6000</v>
      </c>
      <c r="P33" s="228">
        <f>8250+2750</f>
        <v>11000</v>
      </c>
      <c r="Q33" s="230">
        <f>6250+3125+3125</f>
        <v>12500</v>
      </c>
      <c r="R33" s="229">
        <f t="shared" si="4"/>
        <v>74400</v>
      </c>
      <c r="S33" s="226">
        <f t="shared" si="5"/>
        <v>16000</v>
      </c>
      <c r="T33" s="400">
        <f t="shared" si="6"/>
        <v>90400</v>
      </c>
      <c r="U33" s="246">
        <f t="shared" si="0"/>
        <v>0</v>
      </c>
      <c r="V33" s="232">
        <f t="shared" si="1"/>
        <v>0</v>
      </c>
      <c r="W33" s="233">
        <f t="shared" si="7"/>
        <v>0</v>
      </c>
      <c r="X33" s="234">
        <f t="shared" si="2"/>
        <v>-12500</v>
      </c>
      <c r="Y33" s="233">
        <f t="shared" si="8"/>
        <v>-12500</v>
      </c>
      <c r="Z33" s="247">
        <v>30</v>
      </c>
      <c r="AA33" s="236">
        <f t="shared" si="3"/>
        <v>0</v>
      </c>
      <c r="AB33" s="172"/>
      <c r="AC33" s="172">
        <v>90400</v>
      </c>
      <c r="AD33" s="172">
        <v>0</v>
      </c>
      <c r="AE33" s="172">
        <v>0</v>
      </c>
      <c r="AF33" s="224"/>
      <c r="AG33" s="224"/>
      <c r="AH33" s="224"/>
      <c r="AI33" s="224"/>
      <c r="AJ33" s="179"/>
      <c r="AK33" s="179"/>
      <c r="AL33" s="179"/>
      <c r="AM33" s="179"/>
      <c r="AN33" s="179"/>
      <c r="AO33" s="179"/>
      <c r="AP33" s="179"/>
      <c r="AQ33" s="179"/>
      <c r="AR33" s="181"/>
      <c r="AS33" s="181"/>
      <c r="AT33" s="181"/>
      <c r="AU33" s="181"/>
    </row>
    <row r="34" spans="1:47" s="182" customFormat="1" ht="11.4" thickTop="1" thickBot="1" x14ac:dyDescent="0.25">
      <c r="A34" s="237">
        <v>31</v>
      </c>
      <c r="B34" s="248" t="s">
        <v>19</v>
      </c>
      <c r="C34" s="224">
        <v>0</v>
      </c>
      <c r="D34" s="225">
        <v>0</v>
      </c>
      <c r="E34" s="241">
        <v>8300</v>
      </c>
      <c r="F34" s="227">
        <v>2000</v>
      </c>
      <c r="G34" s="227">
        <v>8300</v>
      </c>
      <c r="H34" s="227">
        <v>8300</v>
      </c>
      <c r="I34" s="227">
        <v>3500</v>
      </c>
      <c r="J34" s="242">
        <v>4000</v>
      </c>
      <c r="K34" s="243">
        <v>8300</v>
      </c>
      <c r="L34" s="244">
        <v>500</v>
      </c>
      <c r="M34" s="244">
        <v>8500</v>
      </c>
      <c r="N34" s="245">
        <v>9200</v>
      </c>
      <c r="O34" s="227">
        <v>6000</v>
      </c>
      <c r="P34" s="228">
        <f>8250+2750</f>
        <v>11000</v>
      </c>
      <c r="Q34" s="230">
        <f>6250+3125+3125</f>
        <v>12500</v>
      </c>
      <c r="R34" s="229">
        <f t="shared" si="4"/>
        <v>74400</v>
      </c>
      <c r="S34" s="226">
        <f t="shared" si="5"/>
        <v>16000</v>
      </c>
      <c r="T34" s="400">
        <f t="shared" si="6"/>
        <v>90400</v>
      </c>
      <c r="U34" s="246">
        <f t="shared" si="0"/>
        <v>0</v>
      </c>
      <c r="V34" s="232">
        <f t="shared" si="1"/>
        <v>0</v>
      </c>
      <c r="W34" s="233">
        <f t="shared" si="7"/>
        <v>0</v>
      </c>
      <c r="X34" s="234">
        <f t="shared" si="2"/>
        <v>-12500</v>
      </c>
      <c r="Y34" s="233">
        <f t="shared" si="8"/>
        <v>-12500</v>
      </c>
      <c r="Z34" s="247">
        <v>31</v>
      </c>
      <c r="AA34" s="236">
        <f t="shared" si="3"/>
        <v>0</v>
      </c>
      <c r="AB34" s="172"/>
      <c r="AC34" s="172">
        <v>90400</v>
      </c>
      <c r="AD34" s="172">
        <v>0</v>
      </c>
      <c r="AE34" s="172">
        <v>0</v>
      </c>
      <c r="AF34" s="224"/>
      <c r="AG34" s="224"/>
      <c r="AH34" s="224"/>
      <c r="AI34" s="224"/>
      <c r="AJ34" s="179"/>
      <c r="AK34" s="179"/>
      <c r="AL34" s="179"/>
      <c r="AM34" s="179"/>
      <c r="AN34" s="179"/>
      <c r="AO34" s="179"/>
      <c r="AP34" s="179"/>
      <c r="AQ34" s="179"/>
      <c r="AR34" s="181"/>
      <c r="AS34" s="181"/>
      <c r="AT34" s="181"/>
      <c r="AU34" s="181"/>
    </row>
    <row r="35" spans="1:47" s="182" customFormat="1" ht="11.4" thickTop="1" thickBot="1" x14ac:dyDescent="0.25">
      <c r="A35" s="237">
        <v>32</v>
      </c>
      <c r="B35" s="248" t="s">
        <v>118</v>
      </c>
      <c r="C35" s="224">
        <v>0</v>
      </c>
      <c r="D35" s="225">
        <v>0</v>
      </c>
      <c r="E35" s="241">
        <v>8300</v>
      </c>
      <c r="F35" s="227">
        <v>2000</v>
      </c>
      <c r="G35" s="227">
        <v>8300</v>
      </c>
      <c r="H35" s="236">
        <v>8300</v>
      </c>
      <c r="I35" s="227">
        <v>3500</v>
      </c>
      <c r="J35" s="242">
        <v>4000</v>
      </c>
      <c r="K35" s="243">
        <v>8300</v>
      </c>
      <c r="L35" s="244">
        <v>500</v>
      </c>
      <c r="M35" s="244">
        <v>8500</v>
      </c>
      <c r="N35" s="245">
        <v>9200</v>
      </c>
      <c r="O35" s="227">
        <v>6000</v>
      </c>
      <c r="P35" s="228">
        <f>10750+250</f>
        <v>11000</v>
      </c>
      <c r="Q35" s="230">
        <f>4185+1025+1040+1042+1042+2100+2100</f>
        <v>12534</v>
      </c>
      <c r="R35" s="229">
        <f t="shared" si="4"/>
        <v>74434</v>
      </c>
      <c r="S35" s="226">
        <f t="shared" si="5"/>
        <v>16000</v>
      </c>
      <c r="T35" s="400">
        <f t="shared" si="6"/>
        <v>90434</v>
      </c>
      <c r="U35" s="246">
        <f t="shared" si="0"/>
        <v>0</v>
      </c>
      <c r="V35" s="232">
        <f t="shared" si="1"/>
        <v>0</v>
      </c>
      <c r="W35" s="233">
        <f t="shared" si="7"/>
        <v>0</v>
      </c>
      <c r="X35" s="234">
        <f t="shared" si="2"/>
        <v>-12534</v>
      </c>
      <c r="Y35" s="233">
        <f t="shared" si="8"/>
        <v>-12534</v>
      </c>
      <c r="Z35" s="247">
        <v>32</v>
      </c>
      <c r="AA35" s="236">
        <f t="shared" si="3"/>
        <v>2100</v>
      </c>
      <c r="AB35" s="172"/>
      <c r="AC35" s="172">
        <v>88334</v>
      </c>
      <c r="AD35" s="172">
        <v>0</v>
      </c>
      <c r="AE35" s="172">
        <v>0</v>
      </c>
      <c r="AF35" s="224"/>
      <c r="AG35" s="224"/>
      <c r="AH35" s="224"/>
      <c r="AI35" s="224"/>
      <c r="AJ35" s="179"/>
      <c r="AK35" s="179"/>
      <c r="AL35" s="179"/>
      <c r="AM35" s="179"/>
      <c r="AN35" s="179"/>
      <c r="AO35" s="179"/>
      <c r="AP35" s="179"/>
      <c r="AQ35" s="179"/>
      <c r="AR35" s="181"/>
      <c r="AS35" s="181"/>
      <c r="AT35" s="181"/>
      <c r="AU35" s="181"/>
    </row>
    <row r="36" spans="1:47" s="182" customFormat="1" ht="11.4" thickTop="1" thickBot="1" x14ac:dyDescent="0.25">
      <c r="A36" s="237">
        <v>33</v>
      </c>
      <c r="B36" s="248" t="s">
        <v>20</v>
      </c>
      <c r="C36" s="224">
        <v>0</v>
      </c>
      <c r="D36" s="225">
        <v>0</v>
      </c>
      <c r="E36" s="241">
        <v>8300</v>
      </c>
      <c r="F36" s="227">
        <v>2000</v>
      </c>
      <c r="G36" s="227">
        <v>8300</v>
      </c>
      <c r="H36" s="227">
        <v>8300</v>
      </c>
      <c r="I36" s="227">
        <v>3500</v>
      </c>
      <c r="J36" s="242">
        <v>1000</v>
      </c>
      <c r="K36" s="243">
        <v>8300</v>
      </c>
      <c r="L36" s="244">
        <v>500</v>
      </c>
      <c r="M36" s="244">
        <v>8500</v>
      </c>
      <c r="N36" s="245">
        <v>9200</v>
      </c>
      <c r="O36" s="227">
        <v>6000</v>
      </c>
      <c r="P36" s="228">
        <f>3367+7633</f>
        <v>11000</v>
      </c>
      <c r="Q36" s="230">
        <f>4167+6250</f>
        <v>10417</v>
      </c>
      <c r="R36" s="229">
        <f t="shared" si="4"/>
        <v>72317</v>
      </c>
      <c r="S36" s="226">
        <f t="shared" si="5"/>
        <v>13000</v>
      </c>
      <c r="T36" s="400">
        <f t="shared" si="6"/>
        <v>85317</v>
      </c>
      <c r="U36" s="246">
        <f t="shared" si="0"/>
        <v>3000</v>
      </c>
      <c r="V36" s="232">
        <f t="shared" si="1"/>
        <v>2083</v>
      </c>
      <c r="W36" s="233">
        <f t="shared" si="7"/>
        <v>5083</v>
      </c>
      <c r="X36" s="234">
        <f t="shared" si="2"/>
        <v>-10417</v>
      </c>
      <c r="Y36" s="233">
        <f t="shared" si="8"/>
        <v>-7417</v>
      </c>
      <c r="Z36" s="247">
        <v>33</v>
      </c>
      <c r="AA36" s="236">
        <f t="shared" si="3"/>
        <v>0</v>
      </c>
      <c r="AB36" s="172"/>
      <c r="AC36" s="172">
        <v>85317</v>
      </c>
      <c r="AD36" s="172">
        <v>0</v>
      </c>
      <c r="AE36" s="172">
        <v>0</v>
      </c>
      <c r="AF36" s="224"/>
      <c r="AG36" s="224"/>
      <c r="AH36" s="224"/>
      <c r="AI36" s="224"/>
      <c r="AJ36" s="179"/>
      <c r="AK36" s="179"/>
      <c r="AL36" s="179"/>
      <c r="AM36" s="179"/>
      <c r="AN36" s="179"/>
      <c r="AO36" s="179"/>
      <c r="AP36" s="179"/>
      <c r="AQ36" s="179"/>
      <c r="AR36" s="181"/>
      <c r="AS36" s="181"/>
      <c r="AT36" s="181"/>
      <c r="AU36" s="181"/>
    </row>
    <row r="37" spans="1:47" s="182" customFormat="1" ht="11.4" thickTop="1" thickBot="1" x14ac:dyDescent="0.25">
      <c r="A37" s="237">
        <v>34</v>
      </c>
      <c r="B37" s="248" t="s">
        <v>628</v>
      </c>
      <c r="C37" s="224">
        <v>0</v>
      </c>
      <c r="D37" s="225">
        <v>0</v>
      </c>
      <c r="E37" s="241">
        <v>8300</v>
      </c>
      <c r="F37" s="227">
        <v>2000</v>
      </c>
      <c r="G37" s="227">
        <v>8300</v>
      </c>
      <c r="H37" s="227">
        <v>8300</v>
      </c>
      <c r="I37" s="227">
        <v>3500</v>
      </c>
      <c r="J37" s="242">
        <v>4000</v>
      </c>
      <c r="K37" s="243">
        <v>8300</v>
      </c>
      <c r="L37" s="244">
        <v>500</v>
      </c>
      <c r="M37" s="244">
        <v>8500</v>
      </c>
      <c r="N37" s="245">
        <v>9200</v>
      </c>
      <c r="O37" s="227">
        <v>6000</v>
      </c>
      <c r="P37" s="228">
        <v>11000</v>
      </c>
      <c r="Q37" s="230">
        <f>11000+459</f>
        <v>11459</v>
      </c>
      <c r="R37" s="229">
        <f t="shared" si="4"/>
        <v>73359</v>
      </c>
      <c r="S37" s="226">
        <f t="shared" si="5"/>
        <v>16000</v>
      </c>
      <c r="T37" s="400">
        <f t="shared" si="6"/>
        <v>89359</v>
      </c>
      <c r="U37" s="246">
        <f t="shared" ref="U37:U62" si="9">S$173-S37+C37</f>
        <v>0</v>
      </c>
      <c r="V37" s="232">
        <f t="shared" ref="V37:V68" si="10">IF(V$173-R37+D37&gt;0,ROUNDUP(V$173-R37+D37,0),0)</f>
        <v>1041</v>
      </c>
      <c r="W37" s="233">
        <f t="shared" si="7"/>
        <v>1041</v>
      </c>
      <c r="X37" s="234">
        <f t="shared" ref="X37:X68" si="11">SUM(E$4,G$4,H$4,K$4,M$4,N$4,P$4)+D37-R37</f>
        <v>-11459</v>
      </c>
      <c r="Y37" s="233">
        <f t="shared" si="8"/>
        <v>-11459</v>
      </c>
      <c r="Z37" s="247">
        <v>34</v>
      </c>
      <c r="AA37" s="236">
        <f t="shared" ref="AA37:AA68" si="12">T37-AC37-SUM(C37:D37)+SUM(AD37:AE37)</f>
        <v>459</v>
      </c>
      <c r="AB37" s="172"/>
      <c r="AC37" s="172">
        <v>88900</v>
      </c>
      <c r="AD37" s="172">
        <v>0</v>
      </c>
      <c r="AE37" s="172">
        <v>0</v>
      </c>
      <c r="AF37" s="224"/>
      <c r="AG37" s="224"/>
      <c r="AH37" s="224"/>
      <c r="AI37" s="224"/>
      <c r="AJ37" s="179"/>
      <c r="AK37" s="179"/>
      <c r="AL37" s="179"/>
      <c r="AM37" s="179"/>
      <c r="AN37" s="179"/>
      <c r="AO37" s="179"/>
      <c r="AP37" s="179"/>
      <c r="AQ37" s="179"/>
      <c r="AR37" s="181"/>
      <c r="AS37" s="181"/>
      <c r="AT37" s="181"/>
      <c r="AU37" s="181"/>
    </row>
    <row r="38" spans="1:47" s="182" customFormat="1" ht="11.4" thickTop="1" thickBot="1" x14ac:dyDescent="0.25">
      <c r="A38" s="237">
        <v>35</v>
      </c>
      <c r="B38" s="248" t="s">
        <v>117</v>
      </c>
      <c r="C38" s="224">
        <v>0</v>
      </c>
      <c r="D38" s="251">
        <v>0</v>
      </c>
      <c r="E38" s="241">
        <v>8300</v>
      </c>
      <c r="F38" s="227">
        <v>2000</v>
      </c>
      <c r="G38" s="227">
        <v>8300</v>
      </c>
      <c r="H38" s="227">
        <v>8300</v>
      </c>
      <c r="I38" s="227">
        <v>3500</v>
      </c>
      <c r="J38" s="242">
        <v>4000</v>
      </c>
      <c r="K38" s="243">
        <v>8300</v>
      </c>
      <c r="L38" s="244">
        <v>500</v>
      </c>
      <c r="M38" s="244">
        <v>8500</v>
      </c>
      <c r="N38" s="245">
        <v>9200</v>
      </c>
      <c r="O38" s="227">
        <v>6000</v>
      </c>
      <c r="P38" s="228">
        <v>11000</v>
      </c>
      <c r="Q38" s="230">
        <v>11500</v>
      </c>
      <c r="R38" s="229">
        <f t="shared" si="4"/>
        <v>73400</v>
      </c>
      <c r="S38" s="226">
        <f t="shared" si="5"/>
        <v>16000</v>
      </c>
      <c r="T38" s="400">
        <f t="shared" si="6"/>
        <v>89400</v>
      </c>
      <c r="U38" s="246">
        <f t="shared" si="9"/>
        <v>0</v>
      </c>
      <c r="V38" s="232">
        <f t="shared" si="10"/>
        <v>1000</v>
      </c>
      <c r="W38" s="233">
        <f t="shared" si="7"/>
        <v>1000</v>
      </c>
      <c r="X38" s="234">
        <f t="shared" si="11"/>
        <v>-11500</v>
      </c>
      <c r="Y38" s="233">
        <f t="shared" si="8"/>
        <v>-11500</v>
      </c>
      <c r="Z38" s="247">
        <v>35</v>
      </c>
      <c r="AA38" s="236">
        <f t="shared" si="12"/>
        <v>11500</v>
      </c>
      <c r="AB38" s="172"/>
      <c r="AC38" s="172">
        <v>77900</v>
      </c>
      <c r="AD38" s="172">
        <v>0</v>
      </c>
      <c r="AE38" s="172">
        <v>0</v>
      </c>
      <c r="AF38" s="224"/>
      <c r="AG38" s="224"/>
      <c r="AH38" s="224"/>
      <c r="AI38" s="224"/>
      <c r="AJ38" s="179"/>
      <c r="AK38" s="179"/>
      <c r="AL38" s="179"/>
      <c r="AM38" s="179"/>
      <c r="AN38" s="179"/>
      <c r="AO38" s="179"/>
      <c r="AP38" s="179"/>
      <c r="AQ38" s="179"/>
      <c r="AR38" s="181"/>
      <c r="AS38" s="181"/>
      <c r="AT38" s="181"/>
      <c r="AU38" s="181"/>
    </row>
    <row r="39" spans="1:47" s="182" customFormat="1" ht="11.4" thickTop="1" thickBot="1" x14ac:dyDescent="0.25">
      <c r="A39" s="237">
        <v>36</v>
      </c>
      <c r="B39" s="248" t="s">
        <v>21</v>
      </c>
      <c r="C39" s="224">
        <v>0</v>
      </c>
      <c r="D39" s="225">
        <v>0</v>
      </c>
      <c r="E39" s="241">
        <v>8300</v>
      </c>
      <c r="F39" s="227">
        <v>2000</v>
      </c>
      <c r="G39" s="227">
        <v>8300</v>
      </c>
      <c r="H39" s="227">
        <v>8300</v>
      </c>
      <c r="I39" s="227">
        <v>3500</v>
      </c>
      <c r="J39" s="242">
        <v>4000</v>
      </c>
      <c r="K39" s="243">
        <v>8300</v>
      </c>
      <c r="L39" s="244">
        <v>500</v>
      </c>
      <c r="M39" s="244">
        <v>8500</v>
      </c>
      <c r="N39" s="245">
        <v>9200</v>
      </c>
      <c r="O39" s="227">
        <v>6000</v>
      </c>
      <c r="P39" s="228">
        <v>11000</v>
      </c>
      <c r="Q39" s="230">
        <f>3000+5000+3000+2000</f>
        <v>13000</v>
      </c>
      <c r="R39" s="229">
        <f t="shared" si="4"/>
        <v>74900</v>
      </c>
      <c r="S39" s="226">
        <f t="shared" si="5"/>
        <v>16000</v>
      </c>
      <c r="T39" s="400">
        <f t="shared" si="6"/>
        <v>90900</v>
      </c>
      <c r="U39" s="246">
        <f t="shared" si="9"/>
        <v>0</v>
      </c>
      <c r="V39" s="232">
        <f t="shared" si="10"/>
        <v>0</v>
      </c>
      <c r="W39" s="233">
        <f t="shared" si="7"/>
        <v>0</v>
      </c>
      <c r="X39" s="234">
        <f t="shared" si="11"/>
        <v>-13000</v>
      </c>
      <c r="Y39" s="233">
        <f t="shared" si="8"/>
        <v>-13000</v>
      </c>
      <c r="Z39" s="247">
        <v>36</v>
      </c>
      <c r="AA39" s="236">
        <f t="shared" si="12"/>
        <v>2000</v>
      </c>
      <c r="AB39" s="172"/>
      <c r="AC39" s="172">
        <v>88900</v>
      </c>
      <c r="AD39" s="172">
        <v>0</v>
      </c>
      <c r="AE39" s="172">
        <v>0</v>
      </c>
      <c r="AF39" s="224"/>
      <c r="AG39" s="224"/>
      <c r="AH39" s="224"/>
      <c r="AI39" s="224"/>
      <c r="AJ39" s="179"/>
      <c r="AK39" s="179"/>
      <c r="AL39" s="179"/>
      <c r="AM39" s="179"/>
      <c r="AN39" s="179"/>
      <c r="AO39" s="179"/>
      <c r="AP39" s="179"/>
      <c r="AQ39" s="179"/>
      <c r="AR39" s="181"/>
      <c r="AS39" s="181"/>
      <c r="AT39" s="181"/>
      <c r="AU39" s="181"/>
    </row>
    <row r="40" spans="1:47" s="182" customFormat="1" ht="11.4" thickTop="1" thickBot="1" x14ac:dyDescent="0.25">
      <c r="A40" s="237">
        <v>37</v>
      </c>
      <c r="B40" s="248" t="s">
        <v>22</v>
      </c>
      <c r="C40" s="224">
        <v>0</v>
      </c>
      <c r="D40" s="225">
        <v>0</v>
      </c>
      <c r="E40" s="241">
        <v>8300</v>
      </c>
      <c r="F40" s="227">
        <v>2000</v>
      </c>
      <c r="G40" s="227">
        <v>8300</v>
      </c>
      <c r="H40" s="227">
        <v>8300</v>
      </c>
      <c r="I40" s="227">
        <v>3500</v>
      </c>
      <c r="J40" s="242">
        <v>4000</v>
      </c>
      <c r="K40" s="243">
        <v>8300</v>
      </c>
      <c r="L40" s="244">
        <v>500</v>
      </c>
      <c r="M40" s="244">
        <v>8500</v>
      </c>
      <c r="N40" s="245">
        <v>5367</v>
      </c>
      <c r="O40" s="227">
        <v>6000</v>
      </c>
      <c r="P40" s="228"/>
      <c r="Q40" s="230"/>
      <c r="R40" s="229">
        <f t="shared" si="4"/>
        <v>47067</v>
      </c>
      <c r="S40" s="226">
        <f t="shared" si="5"/>
        <v>16000</v>
      </c>
      <c r="T40" s="400">
        <f t="shared" si="6"/>
        <v>63067</v>
      </c>
      <c r="U40" s="246">
        <f t="shared" si="9"/>
        <v>0</v>
      </c>
      <c r="V40" s="232">
        <f t="shared" si="10"/>
        <v>27333</v>
      </c>
      <c r="W40" s="233">
        <f t="shared" si="7"/>
        <v>27333</v>
      </c>
      <c r="X40" s="234">
        <f t="shared" si="11"/>
        <v>14833</v>
      </c>
      <c r="Y40" s="233">
        <f t="shared" si="8"/>
        <v>14833</v>
      </c>
      <c r="Z40" s="247">
        <v>37</v>
      </c>
      <c r="AA40" s="236">
        <f t="shared" si="12"/>
        <v>0</v>
      </c>
      <c r="AB40" s="172"/>
      <c r="AC40" s="172">
        <v>63067</v>
      </c>
      <c r="AD40" s="172">
        <v>0</v>
      </c>
      <c r="AE40" s="172">
        <v>0</v>
      </c>
      <c r="AF40" s="224"/>
      <c r="AG40" s="224"/>
      <c r="AH40" s="224"/>
      <c r="AI40" s="224"/>
      <c r="AJ40" s="179"/>
      <c r="AK40" s="179"/>
      <c r="AL40" s="179"/>
      <c r="AM40" s="179"/>
      <c r="AN40" s="179"/>
      <c r="AO40" s="179"/>
      <c r="AP40" s="179"/>
      <c r="AQ40" s="179"/>
      <c r="AR40" s="181"/>
      <c r="AS40" s="181"/>
      <c r="AT40" s="181"/>
      <c r="AU40" s="181"/>
    </row>
    <row r="41" spans="1:47" s="182" customFormat="1" ht="11.4" thickTop="1" thickBot="1" x14ac:dyDescent="0.25">
      <c r="A41" s="237">
        <v>38</v>
      </c>
      <c r="B41" s="248" t="s">
        <v>23</v>
      </c>
      <c r="C41" s="224">
        <v>0</v>
      </c>
      <c r="D41" s="225">
        <v>0</v>
      </c>
      <c r="E41" s="241">
        <v>8300</v>
      </c>
      <c r="F41" s="227">
        <v>2000</v>
      </c>
      <c r="G41" s="227">
        <v>8300</v>
      </c>
      <c r="H41" s="227">
        <v>8300</v>
      </c>
      <c r="I41" s="227">
        <v>3500</v>
      </c>
      <c r="J41" s="242">
        <v>500</v>
      </c>
      <c r="K41" s="243">
        <v>8300</v>
      </c>
      <c r="L41" s="244"/>
      <c r="M41" s="244">
        <v>8500</v>
      </c>
      <c r="N41" s="245">
        <v>9200</v>
      </c>
      <c r="O41" s="227">
        <f>3000+3000</f>
        <v>6000</v>
      </c>
      <c r="P41" s="228">
        <f>8765+2235</f>
        <v>11000</v>
      </c>
      <c r="Q41" s="230">
        <f>7000+3000</f>
        <v>10000</v>
      </c>
      <c r="R41" s="229">
        <f t="shared" si="4"/>
        <v>71900</v>
      </c>
      <c r="S41" s="226">
        <f t="shared" si="5"/>
        <v>12000</v>
      </c>
      <c r="T41" s="400">
        <f t="shared" si="6"/>
        <v>83900</v>
      </c>
      <c r="U41" s="246">
        <f t="shared" si="9"/>
        <v>4000</v>
      </c>
      <c r="V41" s="232">
        <f t="shared" si="10"/>
        <v>2500</v>
      </c>
      <c r="W41" s="233">
        <f t="shared" si="7"/>
        <v>6500</v>
      </c>
      <c r="X41" s="234">
        <f t="shared" si="11"/>
        <v>-10000</v>
      </c>
      <c r="Y41" s="233">
        <f t="shared" si="8"/>
        <v>-6000</v>
      </c>
      <c r="Z41" s="247">
        <v>38</v>
      </c>
      <c r="AA41" s="236">
        <f t="shared" si="12"/>
        <v>0</v>
      </c>
      <c r="AB41" s="172"/>
      <c r="AC41" s="172">
        <v>83900</v>
      </c>
      <c r="AD41" s="172">
        <v>0</v>
      </c>
      <c r="AE41" s="172">
        <v>0</v>
      </c>
      <c r="AF41" s="224"/>
      <c r="AG41" s="226">
        <f>9200-8811.41</f>
        <v>388.59000000000015</v>
      </c>
      <c r="AH41" s="224"/>
      <c r="AI41" s="224"/>
      <c r="AJ41" s="179"/>
      <c r="AK41" s="179"/>
      <c r="AL41" s="179"/>
      <c r="AM41" s="179"/>
      <c r="AN41" s="179"/>
      <c r="AO41" s="179"/>
      <c r="AP41" s="179"/>
      <c r="AQ41" s="179"/>
      <c r="AR41" s="181"/>
      <c r="AS41" s="181"/>
      <c r="AT41" s="181"/>
      <c r="AU41" s="181"/>
    </row>
    <row r="42" spans="1:47" s="182" customFormat="1" ht="11.4" thickTop="1" thickBot="1" x14ac:dyDescent="0.25">
      <c r="A42" s="237">
        <v>39</v>
      </c>
      <c r="B42" s="248" t="s">
        <v>119</v>
      </c>
      <c r="C42" s="224">
        <v>0</v>
      </c>
      <c r="D42" s="225">
        <v>0</v>
      </c>
      <c r="E42" s="241">
        <v>8300</v>
      </c>
      <c r="F42" s="227">
        <v>2000</v>
      </c>
      <c r="G42" s="227">
        <v>8300</v>
      </c>
      <c r="H42" s="227">
        <v>8300</v>
      </c>
      <c r="I42" s="227">
        <v>3500</v>
      </c>
      <c r="J42" s="242">
        <f>2000+2000</f>
        <v>4000</v>
      </c>
      <c r="K42" s="243">
        <v>8300</v>
      </c>
      <c r="L42" s="244">
        <v>500</v>
      </c>
      <c r="M42" s="244">
        <v>8500</v>
      </c>
      <c r="N42" s="245">
        <v>9200</v>
      </c>
      <c r="O42" s="227">
        <v>6000</v>
      </c>
      <c r="P42" s="228">
        <f>5500+5500</f>
        <v>11000</v>
      </c>
      <c r="Q42" s="230">
        <f>2750+7667</f>
        <v>10417</v>
      </c>
      <c r="R42" s="229">
        <f t="shared" si="4"/>
        <v>72317</v>
      </c>
      <c r="S42" s="226">
        <f t="shared" si="5"/>
        <v>16000</v>
      </c>
      <c r="T42" s="400">
        <f t="shared" si="6"/>
        <v>88317</v>
      </c>
      <c r="U42" s="246">
        <f t="shared" si="9"/>
        <v>0</v>
      </c>
      <c r="V42" s="232">
        <f t="shared" si="10"/>
        <v>2083</v>
      </c>
      <c r="W42" s="233">
        <f t="shared" si="7"/>
        <v>2083</v>
      </c>
      <c r="X42" s="234">
        <f t="shared" si="11"/>
        <v>-10417</v>
      </c>
      <c r="Y42" s="233">
        <f t="shared" si="8"/>
        <v>-10417</v>
      </c>
      <c r="Z42" s="247">
        <v>39</v>
      </c>
      <c r="AA42" s="236">
        <f t="shared" si="12"/>
        <v>0</v>
      </c>
      <c r="AB42" s="172"/>
      <c r="AC42" s="172">
        <v>88317</v>
      </c>
      <c r="AD42" s="172">
        <v>0</v>
      </c>
      <c r="AE42" s="172">
        <v>0</v>
      </c>
      <c r="AF42" s="224"/>
      <c r="AG42" s="224"/>
      <c r="AH42" s="224"/>
      <c r="AI42" s="224"/>
      <c r="AJ42" s="179"/>
      <c r="AK42" s="179"/>
      <c r="AL42" s="179"/>
      <c r="AM42" s="179"/>
      <c r="AN42" s="179"/>
      <c r="AO42" s="179"/>
      <c r="AP42" s="179"/>
      <c r="AQ42" s="179"/>
      <c r="AR42" s="181"/>
      <c r="AS42" s="181"/>
      <c r="AT42" s="181"/>
      <c r="AU42" s="181"/>
    </row>
    <row r="43" spans="1:47" s="182" customFormat="1" ht="11.4" thickTop="1" thickBot="1" x14ac:dyDescent="0.25">
      <c r="A43" s="237">
        <v>40</v>
      </c>
      <c r="B43" s="248" t="s">
        <v>24</v>
      </c>
      <c r="C43" s="224">
        <v>0</v>
      </c>
      <c r="D43" s="225">
        <v>0</v>
      </c>
      <c r="E43" s="241">
        <v>8300</v>
      </c>
      <c r="F43" s="227">
        <v>2000</v>
      </c>
      <c r="G43" s="227">
        <v>8300</v>
      </c>
      <c r="H43" s="227">
        <v>8300</v>
      </c>
      <c r="I43" s="227">
        <v>3500</v>
      </c>
      <c r="J43" s="242">
        <v>1430</v>
      </c>
      <c r="K43" s="243">
        <v>8300</v>
      </c>
      <c r="L43" s="244">
        <v>500</v>
      </c>
      <c r="M43" s="244">
        <v>8500</v>
      </c>
      <c r="N43" s="245">
        <v>9200</v>
      </c>
      <c r="O43" s="227">
        <v>6000</v>
      </c>
      <c r="P43" s="228">
        <f>5000+6000</f>
        <v>11000</v>
      </c>
      <c r="Q43" s="230">
        <f>5000+2500+5000</f>
        <v>12500</v>
      </c>
      <c r="R43" s="229">
        <f t="shared" si="4"/>
        <v>74400</v>
      </c>
      <c r="S43" s="226">
        <f t="shared" si="5"/>
        <v>13430</v>
      </c>
      <c r="T43" s="400">
        <f t="shared" si="6"/>
        <v>87830</v>
      </c>
      <c r="U43" s="246">
        <f t="shared" si="9"/>
        <v>2570</v>
      </c>
      <c r="V43" s="232">
        <f t="shared" si="10"/>
        <v>0</v>
      </c>
      <c r="W43" s="233">
        <f t="shared" si="7"/>
        <v>2570</v>
      </c>
      <c r="X43" s="234">
        <f t="shared" si="11"/>
        <v>-12500</v>
      </c>
      <c r="Y43" s="233">
        <f t="shared" si="8"/>
        <v>-9930</v>
      </c>
      <c r="Z43" s="247">
        <v>40</v>
      </c>
      <c r="AA43" s="236">
        <f t="shared" si="12"/>
        <v>0</v>
      </c>
      <c r="AB43" s="172"/>
      <c r="AC43" s="172">
        <v>87830</v>
      </c>
      <c r="AD43" s="172">
        <v>0</v>
      </c>
      <c r="AE43" s="172">
        <v>0</v>
      </c>
      <c r="AF43" s="224"/>
      <c r="AG43" s="224"/>
      <c r="AH43" s="224"/>
      <c r="AI43" s="224"/>
      <c r="AJ43" s="179"/>
      <c r="AK43" s="179"/>
      <c r="AL43" s="179"/>
      <c r="AM43" s="179"/>
      <c r="AN43" s="179"/>
      <c r="AO43" s="179"/>
      <c r="AP43" s="179"/>
      <c r="AQ43" s="179"/>
      <c r="AR43" s="181"/>
      <c r="AS43" s="181"/>
      <c r="AT43" s="181"/>
      <c r="AU43" s="181"/>
    </row>
    <row r="44" spans="1:47" s="182" customFormat="1" ht="11.4" thickTop="1" thickBot="1" x14ac:dyDescent="0.25">
      <c r="A44" s="237">
        <v>41</v>
      </c>
      <c r="B44" s="248" t="s">
        <v>25</v>
      </c>
      <c r="C44" s="224">
        <v>0</v>
      </c>
      <c r="D44" s="225">
        <v>0</v>
      </c>
      <c r="E44" s="241">
        <v>8300</v>
      </c>
      <c r="F44" s="227">
        <v>2000</v>
      </c>
      <c r="G44" s="227">
        <v>8300</v>
      </c>
      <c r="H44" s="227">
        <v>8300</v>
      </c>
      <c r="I44" s="227">
        <v>3500</v>
      </c>
      <c r="J44" s="242">
        <f>2000+2000</f>
        <v>4000</v>
      </c>
      <c r="K44" s="243">
        <v>8300</v>
      </c>
      <c r="L44" s="244">
        <v>500</v>
      </c>
      <c r="M44" s="244">
        <v>8500</v>
      </c>
      <c r="N44" s="245">
        <v>9200</v>
      </c>
      <c r="O44" s="227">
        <v>6000</v>
      </c>
      <c r="P44" s="228">
        <f>10106+894</f>
        <v>11000</v>
      </c>
      <c r="Q44" s="230">
        <f>8106+1000+1000+2500</f>
        <v>12606</v>
      </c>
      <c r="R44" s="229">
        <f t="shared" si="4"/>
        <v>74506</v>
      </c>
      <c r="S44" s="226">
        <f t="shared" si="5"/>
        <v>16000</v>
      </c>
      <c r="T44" s="400">
        <f t="shared" si="6"/>
        <v>90506</v>
      </c>
      <c r="U44" s="246">
        <f t="shared" si="9"/>
        <v>0</v>
      </c>
      <c r="V44" s="232">
        <f t="shared" si="10"/>
        <v>0</v>
      </c>
      <c r="W44" s="233">
        <f t="shared" si="7"/>
        <v>0</v>
      </c>
      <c r="X44" s="234">
        <f t="shared" si="11"/>
        <v>-12606</v>
      </c>
      <c r="Y44" s="233">
        <f t="shared" si="8"/>
        <v>-12606</v>
      </c>
      <c r="Z44" s="247">
        <v>41</v>
      </c>
      <c r="AA44" s="236">
        <f t="shared" si="12"/>
        <v>0</v>
      </c>
      <c r="AB44" s="172"/>
      <c r="AC44" s="172">
        <v>90506</v>
      </c>
      <c r="AD44" s="172">
        <v>0</v>
      </c>
      <c r="AE44" s="172">
        <v>0</v>
      </c>
      <c r="AF44" s="224"/>
      <c r="AG44" s="224"/>
      <c r="AH44" s="224"/>
      <c r="AI44" s="224"/>
      <c r="AJ44" s="179"/>
      <c r="AK44" s="179"/>
      <c r="AL44" s="179"/>
      <c r="AM44" s="179"/>
      <c r="AN44" s="179"/>
      <c r="AO44" s="179"/>
      <c r="AP44" s="179"/>
      <c r="AQ44" s="179"/>
      <c r="AR44" s="181"/>
      <c r="AS44" s="181"/>
      <c r="AT44" s="181"/>
      <c r="AU44" s="181"/>
    </row>
    <row r="45" spans="1:47" s="268" customFormat="1" ht="11.4" thickTop="1" thickBot="1" x14ac:dyDescent="0.25">
      <c r="A45" s="254">
        <v>42</v>
      </c>
      <c r="B45" s="255" t="s">
        <v>26</v>
      </c>
      <c r="C45" s="256">
        <v>0</v>
      </c>
      <c r="D45" s="257">
        <v>0</v>
      </c>
      <c r="E45" s="258">
        <v>8300</v>
      </c>
      <c r="F45" s="259">
        <v>2000</v>
      </c>
      <c r="G45" s="259">
        <v>8300</v>
      </c>
      <c r="H45" s="259">
        <v>8300</v>
      </c>
      <c r="I45" s="259">
        <v>3500</v>
      </c>
      <c r="J45" s="260">
        <v>4000</v>
      </c>
      <c r="K45" s="261">
        <v>8300</v>
      </c>
      <c r="L45" s="260">
        <v>500</v>
      </c>
      <c r="M45" s="260">
        <v>8500</v>
      </c>
      <c r="N45" s="262">
        <v>9200</v>
      </c>
      <c r="O45" s="259">
        <v>6000</v>
      </c>
      <c r="P45" s="273">
        <f>9000+2000</f>
        <v>11000</v>
      </c>
      <c r="Q45" s="257">
        <f>5000+1000+1500+2000+3000</f>
        <v>12500</v>
      </c>
      <c r="R45" s="418">
        <f t="shared" si="4"/>
        <v>74400</v>
      </c>
      <c r="S45" s="369">
        <f t="shared" si="5"/>
        <v>16000</v>
      </c>
      <c r="T45" s="457">
        <f t="shared" si="6"/>
        <v>90400</v>
      </c>
      <c r="U45" s="263">
        <f t="shared" si="9"/>
        <v>0</v>
      </c>
      <c r="V45" s="264">
        <f t="shared" si="10"/>
        <v>0</v>
      </c>
      <c r="W45" s="265">
        <f t="shared" si="7"/>
        <v>0</v>
      </c>
      <c r="X45" s="370">
        <f t="shared" si="11"/>
        <v>-12500</v>
      </c>
      <c r="Y45" s="265">
        <f t="shared" si="8"/>
        <v>-12500</v>
      </c>
      <c r="Z45" s="266">
        <v>42</v>
      </c>
      <c r="AA45" s="259">
        <f t="shared" si="12"/>
        <v>0</v>
      </c>
      <c r="AB45" s="267"/>
      <c r="AC45" s="267">
        <v>90400</v>
      </c>
      <c r="AD45" s="267">
        <v>0</v>
      </c>
      <c r="AE45" s="267">
        <v>0</v>
      </c>
      <c r="AF45" s="224"/>
      <c r="AG45" s="224"/>
      <c r="AH45" s="224"/>
      <c r="AI45" s="224"/>
      <c r="AJ45" s="179"/>
      <c r="AK45" s="179"/>
      <c r="AL45" s="179"/>
      <c r="AM45" s="179"/>
      <c r="AN45" s="179"/>
      <c r="AO45" s="179"/>
      <c r="AP45" s="179"/>
      <c r="AQ45" s="179"/>
      <c r="AR45" s="181"/>
      <c r="AS45" s="181"/>
      <c r="AT45" s="181"/>
      <c r="AU45" s="181"/>
    </row>
    <row r="46" spans="1:47" s="268" customFormat="1" ht="11.4" thickTop="1" thickBot="1" x14ac:dyDescent="0.25">
      <c r="A46" s="254">
        <v>43</v>
      </c>
      <c r="B46" s="255" t="s">
        <v>26</v>
      </c>
      <c r="C46" s="256">
        <v>0</v>
      </c>
      <c r="D46" s="257">
        <v>0</v>
      </c>
      <c r="E46" s="258">
        <v>8300</v>
      </c>
      <c r="F46" s="259">
        <v>2000</v>
      </c>
      <c r="G46" s="259">
        <v>8300</v>
      </c>
      <c r="H46" s="259">
        <v>8300</v>
      </c>
      <c r="I46" s="259">
        <v>3500</v>
      </c>
      <c r="J46" s="260">
        <v>4000</v>
      </c>
      <c r="K46" s="261">
        <v>8300</v>
      </c>
      <c r="L46" s="260">
        <v>500</v>
      </c>
      <c r="M46" s="260">
        <v>8500</v>
      </c>
      <c r="N46" s="262">
        <v>9200</v>
      </c>
      <c r="O46" s="259">
        <v>6000</v>
      </c>
      <c r="P46" s="273">
        <f>9000+2000</f>
        <v>11000</v>
      </c>
      <c r="Q46" s="257">
        <f>5000+1000+1500+2000+3000</f>
        <v>12500</v>
      </c>
      <c r="R46" s="418">
        <f t="shared" si="4"/>
        <v>74400</v>
      </c>
      <c r="S46" s="369">
        <f t="shared" si="5"/>
        <v>16000</v>
      </c>
      <c r="T46" s="457">
        <f t="shared" si="6"/>
        <v>90400</v>
      </c>
      <c r="U46" s="263">
        <f t="shared" si="9"/>
        <v>0</v>
      </c>
      <c r="V46" s="264">
        <f t="shared" si="10"/>
        <v>0</v>
      </c>
      <c r="W46" s="265">
        <f t="shared" si="7"/>
        <v>0</v>
      </c>
      <c r="X46" s="370">
        <f t="shared" si="11"/>
        <v>-12500</v>
      </c>
      <c r="Y46" s="265">
        <f t="shared" si="8"/>
        <v>-12500</v>
      </c>
      <c r="Z46" s="266">
        <v>43</v>
      </c>
      <c r="AA46" s="259">
        <f t="shared" si="12"/>
        <v>0</v>
      </c>
      <c r="AB46" s="267"/>
      <c r="AC46" s="267">
        <v>90400</v>
      </c>
      <c r="AD46" s="267">
        <v>0</v>
      </c>
      <c r="AE46" s="267">
        <v>0</v>
      </c>
      <c r="AF46" s="224"/>
      <c r="AG46" s="224"/>
      <c r="AH46" s="224"/>
      <c r="AI46" s="224"/>
      <c r="AJ46" s="179"/>
      <c r="AK46" s="179"/>
      <c r="AL46" s="179"/>
      <c r="AM46" s="179"/>
      <c r="AN46" s="179"/>
      <c r="AO46" s="179"/>
      <c r="AP46" s="179"/>
      <c r="AQ46" s="179"/>
      <c r="AR46" s="181"/>
      <c r="AS46" s="181"/>
      <c r="AT46" s="181"/>
      <c r="AU46" s="181"/>
    </row>
    <row r="47" spans="1:47" s="182" customFormat="1" ht="11.4" thickTop="1" thickBot="1" x14ac:dyDescent="0.25">
      <c r="A47" s="237">
        <v>44</v>
      </c>
      <c r="B47" s="248" t="s">
        <v>389</v>
      </c>
      <c r="C47" s="224">
        <v>0</v>
      </c>
      <c r="D47" s="225">
        <v>0</v>
      </c>
      <c r="E47" s="241">
        <v>8300</v>
      </c>
      <c r="F47" s="227">
        <v>2000</v>
      </c>
      <c r="G47" s="227">
        <v>8300</v>
      </c>
      <c r="H47" s="227">
        <v>8300</v>
      </c>
      <c r="I47" s="227">
        <v>3500</v>
      </c>
      <c r="J47" s="242">
        <v>4000</v>
      </c>
      <c r="K47" s="243">
        <v>8300</v>
      </c>
      <c r="L47" s="244">
        <v>500</v>
      </c>
      <c r="M47" s="244">
        <v>8500</v>
      </c>
      <c r="N47" s="245">
        <f>5000+4200</f>
        <v>9200</v>
      </c>
      <c r="O47" s="227"/>
      <c r="P47" s="228">
        <v>11000</v>
      </c>
      <c r="Q47" s="230"/>
      <c r="R47" s="229">
        <f t="shared" si="4"/>
        <v>61900</v>
      </c>
      <c r="S47" s="226">
        <f t="shared" si="5"/>
        <v>10000</v>
      </c>
      <c r="T47" s="400">
        <f t="shared" si="6"/>
        <v>71900</v>
      </c>
      <c r="U47" s="246">
        <f t="shared" si="9"/>
        <v>6000</v>
      </c>
      <c r="V47" s="232">
        <f t="shared" si="10"/>
        <v>12500</v>
      </c>
      <c r="W47" s="233">
        <f t="shared" si="7"/>
        <v>18500</v>
      </c>
      <c r="X47" s="234">
        <f t="shared" si="11"/>
        <v>0</v>
      </c>
      <c r="Y47" s="233">
        <f t="shared" si="8"/>
        <v>6000</v>
      </c>
      <c r="Z47" s="247">
        <v>44</v>
      </c>
      <c r="AA47" s="236">
        <f t="shared" si="12"/>
        <v>0</v>
      </c>
      <c r="AB47" s="172"/>
      <c r="AC47" s="172">
        <v>71900</v>
      </c>
      <c r="AD47" s="172">
        <v>0</v>
      </c>
      <c r="AE47" s="172">
        <v>0</v>
      </c>
      <c r="AF47" s="224"/>
      <c r="AG47" s="224"/>
      <c r="AH47" s="224"/>
      <c r="AI47" s="224"/>
      <c r="AJ47" s="179">
        <v>8000</v>
      </c>
      <c r="AK47" s="179">
        <v>115000</v>
      </c>
      <c r="AL47" s="179"/>
      <c r="AM47" s="179"/>
      <c r="AN47" s="179"/>
      <c r="AO47" s="179"/>
      <c r="AP47" s="179"/>
      <c r="AQ47" s="179"/>
      <c r="AR47" s="181"/>
      <c r="AS47" s="181"/>
      <c r="AT47" s="181"/>
      <c r="AU47" s="181"/>
    </row>
    <row r="48" spans="1:47" s="182" customFormat="1" ht="11.4" thickTop="1" thickBot="1" x14ac:dyDescent="0.25">
      <c r="A48" s="237">
        <v>45</v>
      </c>
      <c r="B48" s="238" t="s">
        <v>27</v>
      </c>
      <c r="C48" s="224">
        <v>0</v>
      </c>
      <c r="D48" s="225">
        <v>0</v>
      </c>
      <c r="E48" s="241">
        <v>8300</v>
      </c>
      <c r="F48" s="227">
        <v>2000</v>
      </c>
      <c r="G48" s="227">
        <v>8300</v>
      </c>
      <c r="H48" s="227">
        <v>8300</v>
      </c>
      <c r="I48" s="227">
        <v>3500</v>
      </c>
      <c r="J48" s="242">
        <v>4000</v>
      </c>
      <c r="K48" s="243">
        <v>8300</v>
      </c>
      <c r="L48" s="244">
        <v>500</v>
      </c>
      <c r="M48" s="244">
        <v>8500</v>
      </c>
      <c r="N48" s="245">
        <f>4600+4600</f>
        <v>9200</v>
      </c>
      <c r="O48" s="227">
        <v>6000</v>
      </c>
      <c r="P48" s="228">
        <f>5500+5500</f>
        <v>11000</v>
      </c>
      <c r="Q48" s="230"/>
      <c r="R48" s="229">
        <f t="shared" si="4"/>
        <v>61900</v>
      </c>
      <c r="S48" s="226">
        <f t="shared" si="5"/>
        <v>16000</v>
      </c>
      <c r="T48" s="400">
        <f t="shared" si="6"/>
        <v>77900</v>
      </c>
      <c r="U48" s="246">
        <f t="shared" si="9"/>
        <v>0</v>
      </c>
      <c r="V48" s="232">
        <f t="shared" si="10"/>
        <v>12500</v>
      </c>
      <c r="W48" s="233">
        <f t="shared" si="7"/>
        <v>12500</v>
      </c>
      <c r="X48" s="234">
        <f t="shared" si="11"/>
        <v>0</v>
      </c>
      <c r="Y48" s="233">
        <f t="shared" si="8"/>
        <v>0</v>
      </c>
      <c r="Z48" s="247">
        <v>45</v>
      </c>
      <c r="AA48" s="236">
        <f t="shared" si="12"/>
        <v>0</v>
      </c>
      <c r="AB48" s="172"/>
      <c r="AC48" s="172">
        <v>77900</v>
      </c>
      <c r="AD48" s="172">
        <v>0</v>
      </c>
      <c r="AE48" s="172">
        <v>0</v>
      </c>
      <c r="AF48" s="224">
        <v>9000</v>
      </c>
      <c r="AG48" s="224"/>
      <c r="AH48" s="224"/>
      <c r="AI48" s="224"/>
      <c r="AJ48" s="179"/>
      <c r="AK48" s="179"/>
      <c r="AL48" s="179"/>
      <c r="AM48" s="179"/>
      <c r="AN48" s="179"/>
      <c r="AO48" s="179"/>
      <c r="AP48" s="179"/>
      <c r="AQ48" s="179"/>
      <c r="AR48" s="181"/>
      <c r="AS48" s="181"/>
      <c r="AT48" s="181"/>
      <c r="AU48" s="181"/>
    </row>
    <row r="49" spans="1:47" s="182" customFormat="1" ht="11.4" thickTop="1" thickBot="1" x14ac:dyDescent="0.25">
      <c r="A49" s="237">
        <v>46</v>
      </c>
      <c r="B49" s="248" t="s">
        <v>166</v>
      </c>
      <c r="C49" s="224">
        <v>0</v>
      </c>
      <c r="D49" s="225">
        <v>0</v>
      </c>
      <c r="E49" s="241">
        <v>8300</v>
      </c>
      <c r="F49" s="227">
        <v>2000</v>
      </c>
      <c r="G49" s="227">
        <v>8300</v>
      </c>
      <c r="H49" s="227">
        <v>8300</v>
      </c>
      <c r="I49" s="227">
        <v>3500</v>
      </c>
      <c r="J49" s="242">
        <f>1000+3000</f>
        <v>4000</v>
      </c>
      <c r="K49" s="243">
        <v>8300</v>
      </c>
      <c r="L49" s="244">
        <v>500</v>
      </c>
      <c r="M49" s="244">
        <v>8500</v>
      </c>
      <c r="N49" s="245">
        <v>9200</v>
      </c>
      <c r="O49" s="227">
        <v>6000</v>
      </c>
      <c r="P49" s="228">
        <f>8800+1284+916</f>
        <v>11000</v>
      </c>
      <c r="Q49" s="230">
        <f>2084+10000</f>
        <v>12084</v>
      </c>
      <c r="R49" s="229">
        <f t="shared" si="4"/>
        <v>73984</v>
      </c>
      <c r="S49" s="226">
        <f t="shared" si="5"/>
        <v>16000</v>
      </c>
      <c r="T49" s="400">
        <f t="shared" si="6"/>
        <v>89984</v>
      </c>
      <c r="U49" s="246">
        <f t="shared" si="9"/>
        <v>0</v>
      </c>
      <c r="V49" s="232">
        <f t="shared" si="10"/>
        <v>416</v>
      </c>
      <c r="W49" s="233">
        <f t="shared" si="7"/>
        <v>416</v>
      </c>
      <c r="X49" s="234">
        <f t="shared" si="11"/>
        <v>-12084</v>
      </c>
      <c r="Y49" s="233">
        <f t="shared" si="8"/>
        <v>-12084</v>
      </c>
      <c r="Z49" s="247">
        <v>46</v>
      </c>
      <c r="AA49" s="236">
        <f t="shared" si="12"/>
        <v>10000</v>
      </c>
      <c r="AB49" s="172"/>
      <c r="AC49" s="172">
        <v>79984</v>
      </c>
      <c r="AD49" s="172">
        <v>0</v>
      </c>
      <c r="AE49" s="172">
        <v>0</v>
      </c>
      <c r="AF49" s="224"/>
      <c r="AG49" s="224"/>
      <c r="AH49" s="224"/>
      <c r="AI49" s="224"/>
      <c r="AJ49" s="179"/>
      <c r="AK49" s="179"/>
      <c r="AL49" s="179"/>
      <c r="AM49" s="179"/>
      <c r="AN49" s="179"/>
      <c r="AO49" s="179"/>
      <c r="AP49" s="179"/>
      <c r="AQ49" s="179"/>
      <c r="AR49" s="181"/>
      <c r="AS49" s="181"/>
      <c r="AT49" s="181"/>
      <c r="AU49" s="181"/>
    </row>
    <row r="50" spans="1:47" s="182" customFormat="1" ht="11.4" thickTop="1" thickBot="1" x14ac:dyDescent="0.25">
      <c r="A50" s="237">
        <v>47</v>
      </c>
      <c r="B50" s="248" t="s">
        <v>139</v>
      </c>
      <c r="C50" s="224">
        <v>0</v>
      </c>
      <c r="D50" s="225">
        <v>0</v>
      </c>
      <c r="E50" s="241">
        <v>8300</v>
      </c>
      <c r="F50" s="227">
        <v>2000</v>
      </c>
      <c r="G50" s="227">
        <v>8300</v>
      </c>
      <c r="H50" s="227">
        <v>8300</v>
      </c>
      <c r="I50" s="227">
        <v>3500</v>
      </c>
      <c r="J50" s="242">
        <v>4000</v>
      </c>
      <c r="K50" s="243">
        <v>8300</v>
      </c>
      <c r="L50" s="244">
        <v>500</v>
      </c>
      <c r="M50" s="244">
        <v>8500</v>
      </c>
      <c r="N50" s="245">
        <v>9200</v>
      </c>
      <c r="O50" s="227">
        <v>6000</v>
      </c>
      <c r="P50" s="228">
        <v>11000</v>
      </c>
      <c r="Q50" s="230">
        <v>11000</v>
      </c>
      <c r="R50" s="229">
        <f t="shared" si="4"/>
        <v>72900</v>
      </c>
      <c r="S50" s="226">
        <f t="shared" si="5"/>
        <v>16000</v>
      </c>
      <c r="T50" s="400">
        <f t="shared" si="6"/>
        <v>88900</v>
      </c>
      <c r="U50" s="246">
        <f t="shared" si="9"/>
        <v>0</v>
      </c>
      <c r="V50" s="232">
        <f t="shared" si="10"/>
        <v>1500</v>
      </c>
      <c r="W50" s="233">
        <f t="shared" si="7"/>
        <v>1500</v>
      </c>
      <c r="X50" s="234">
        <f t="shared" si="11"/>
        <v>-11000</v>
      </c>
      <c r="Y50" s="233">
        <f t="shared" si="8"/>
        <v>-11000</v>
      </c>
      <c r="Z50" s="247">
        <v>47</v>
      </c>
      <c r="AA50" s="236">
        <f t="shared" si="12"/>
        <v>0</v>
      </c>
      <c r="AB50" s="172"/>
      <c r="AC50" s="172">
        <v>88900</v>
      </c>
      <c r="AD50" s="172">
        <v>0</v>
      </c>
      <c r="AE50" s="172">
        <v>0</v>
      </c>
      <c r="AF50" s="224"/>
      <c r="AG50" s="224"/>
      <c r="AH50" s="224"/>
      <c r="AI50" s="224"/>
      <c r="AJ50" s="179"/>
      <c r="AK50" s="179"/>
      <c r="AL50" s="179"/>
      <c r="AM50" s="179"/>
      <c r="AN50" s="179"/>
      <c r="AO50" s="179"/>
      <c r="AP50" s="179"/>
      <c r="AQ50" s="179"/>
      <c r="AR50" s="181"/>
      <c r="AS50" s="181"/>
      <c r="AT50" s="181"/>
      <c r="AU50" s="181"/>
    </row>
    <row r="51" spans="1:47" s="182" customFormat="1" ht="11.4" thickTop="1" thickBot="1" x14ac:dyDescent="0.25">
      <c r="A51" s="237">
        <v>48</v>
      </c>
      <c r="B51" s="248" t="s">
        <v>28</v>
      </c>
      <c r="C51" s="224">
        <v>0</v>
      </c>
      <c r="D51" s="225">
        <v>0</v>
      </c>
      <c r="E51" s="241">
        <v>8300</v>
      </c>
      <c r="F51" s="227">
        <v>2000</v>
      </c>
      <c r="G51" s="227">
        <v>8300</v>
      </c>
      <c r="H51" s="227">
        <v>8300</v>
      </c>
      <c r="I51" s="227">
        <v>3500</v>
      </c>
      <c r="J51" s="242">
        <v>4000</v>
      </c>
      <c r="K51" s="243">
        <v>8300</v>
      </c>
      <c r="L51" s="244">
        <v>500</v>
      </c>
      <c r="M51" s="244">
        <v>8500</v>
      </c>
      <c r="N51" s="245">
        <v>9200</v>
      </c>
      <c r="O51" s="227">
        <v>6000</v>
      </c>
      <c r="P51" s="228">
        <v>11000</v>
      </c>
      <c r="Q51" s="230">
        <v>12500</v>
      </c>
      <c r="R51" s="229">
        <f t="shared" si="4"/>
        <v>74400</v>
      </c>
      <c r="S51" s="226">
        <f t="shared" si="5"/>
        <v>16000</v>
      </c>
      <c r="T51" s="400">
        <f t="shared" si="6"/>
        <v>90400</v>
      </c>
      <c r="U51" s="246">
        <f t="shared" si="9"/>
        <v>0</v>
      </c>
      <c r="V51" s="232">
        <f t="shared" si="10"/>
        <v>0</v>
      </c>
      <c r="W51" s="233">
        <f t="shared" si="7"/>
        <v>0</v>
      </c>
      <c r="X51" s="234">
        <f t="shared" si="11"/>
        <v>-12500</v>
      </c>
      <c r="Y51" s="233">
        <f t="shared" si="8"/>
        <v>-12500</v>
      </c>
      <c r="Z51" s="247">
        <v>48</v>
      </c>
      <c r="AA51" s="236">
        <f t="shared" si="12"/>
        <v>0</v>
      </c>
      <c r="AB51" s="172"/>
      <c r="AC51" s="172">
        <v>90400</v>
      </c>
      <c r="AD51" s="172">
        <v>0</v>
      </c>
      <c r="AE51" s="172">
        <v>0</v>
      </c>
      <c r="AF51" s="224"/>
      <c r="AG51" s="224"/>
      <c r="AH51" s="224"/>
      <c r="AI51" s="224"/>
      <c r="AJ51" s="179"/>
      <c r="AK51" s="179"/>
      <c r="AL51" s="179"/>
      <c r="AM51" s="179"/>
      <c r="AN51" s="179"/>
      <c r="AO51" s="179"/>
      <c r="AP51" s="179"/>
      <c r="AQ51" s="179"/>
      <c r="AR51" s="181"/>
      <c r="AS51" s="181"/>
      <c r="AT51" s="181"/>
      <c r="AU51" s="181"/>
    </row>
    <row r="52" spans="1:47" s="182" customFormat="1" ht="11.4" thickTop="1" thickBot="1" x14ac:dyDescent="0.25">
      <c r="A52" s="237">
        <v>49</v>
      </c>
      <c r="B52" s="248" t="s">
        <v>29</v>
      </c>
      <c r="C52" s="224">
        <v>0</v>
      </c>
      <c r="D52" s="225">
        <v>0</v>
      </c>
      <c r="E52" s="241">
        <v>8300</v>
      </c>
      <c r="F52" s="227">
        <v>2000</v>
      </c>
      <c r="G52" s="227">
        <v>8300</v>
      </c>
      <c r="H52" s="227">
        <v>8300</v>
      </c>
      <c r="I52" s="227">
        <v>3500</v>
      </c>
      <c r="J52" s="242">
        <v>4000</v>
      </c>
      <c r="K52" s="243">
        <v>8300</v>
      </c>
      <c r="L52" s="244">
        <v>500</v>
      </c>
      <c r="M52" s="244">
        <v>8500</v>
      </c>
      <c r="N52" s="227">
        <v>9200</v>
      </c>
      <c r="O52" s="227">
        <v>6000</v>
      </c>
      <c r="P52" s="228">
        <f>3370+7630</f>
        <v>11000</v>
      </c>
      <c r="Q52" s="230">
        <f>3000+3000+6470</f>
        <v>12470</v>
      </c>
      <c r="R52" s="229">
        <f t="shared" si="4"/>
        <v>74370</v>
      </c>
      <c r="S52" s="226">
        <f t="shared" si="5"/>
        <v>16000</v>
      </c>
      <c r="T52" s="400">
        <f t="shared" si="6"/>
        <v>90370</v>
      </c>
      <c r="U52" s="246">
        <f t="shared" si="9"/>
        <v>0</v>
      </c>
      <c r="V52" s="232">
        <f t="shared" si="10"/>
        <v>30</v>
      </c>
      <c r="W52" s="233">
        <f t="shared" si="7"/>
        <v>30</v>
      </c>
      <c r="X52" s="234">
        <f t="shared" si="11"/>
        <v>-12470</v>
      </c>
      <c r="Y52" s="233">
        <f t="shared" si="8"/>
        <v>-12470</v>
      </c>
      <c r="Z52" s="247">
        <v>49</v>
      </c>
      <c r="AA52" s="236">
        <f t="shared" si="12"/>
        <v>14100</v>
      </c>
      <c r="AB52" s="172"/>
      <c r="AC52" s="172">
        <v>76270</v>
      </c>
      <c r="AD52" s="172">
        <v>0</v>
      </c>
      <c r="AE52" s="172">
        <v>0</v>
      </c>
      <c r="AF52" s="224"/>
      <c r="AG52" s="224"/>
      <c r="AH52" s="224"/>
      <c r="AI52" s="224"/>
      <c r="AJ52" s="179"/>
      <c r="AK52" s="179"/>
      <c r="AL52" s="179"/>
      <c r="AM52" s="179"/>
      <c r="AN52" s="179"/>
      <c r="AO52" s="179"/>
      <c r="AP52" s="179"/>
      <c r="AQ52" s="179"/>
      <c r="AR52" s="181"/>
      <c r="AS52" s="181"/>
      <c r="AT52" s="181"/>
      <c r="AU52" s="181"/>
    </row>
    <row r="53" spans="1:47" s="182" customFormat="1" ht="11.4" thickTop="1" thickBot="1" x14ac:dyDescent="0.25">
      <c r="A53" s="237">
        <v>50</v>
      </c>
      <c r="B53" s="248" t="s">
        <v>133</v>
      </c>
      <c r="C53" s="224">
        <v>0</v>
      </c>
      <c r="D53" s="225">
        <v>0</v>
      </c>
      <c r="E53" s="241">
        <v>8300</v>
      </c>
      <c r="F53" s="227">
        <v>2000</v>
      </c>
      <c r="G53" s="227">
        <v>8300</v>
      </c>
      <c r="H53" s="227">
        <v>8300</v>
      </c>
      <c r="I53" s="227">
        <v>3500</v>
      </c>
      <c r="J53" s="242">
        <v>4000</v>
      </c>
      <c r="K53" s="243">
        <v>8300</v>
      </c>
      <c r="L53" s="244">
        <v>500</v>
      </c>
      <c r="M53" s="244">
        <v>8500</v>
      </c>
      <c r="N53" s="245">
        <v>9200</v>
      </c>
      <c r="O53" s="227">
        <v>6000</v>
      </c>
      <c r="P53" s="228">
        <f>5400+5400+200</f>
        <v>11000</v>
      </c>
      <c r="Q53" s="230"/>
      <c r="R53" s="229">
        <f t="shared" si="4"/>
        <v>61900</v>
      </c>
      <c r="S53" s="226">
        <f t="shared" si="5"/>
        <v>16000</v>
      </c>
      <c r="T53" s="400">
        <f t="shared" si="6"/>
        <v>77900</v>
      </c>
      <c r="U53" s="246">
        <f t="shared" si="9"/>
        <v>0</v>
      </c>
      <c r="V53" s="232">
        <f t="shared" si="10"/>
        <v>12500</v>
      </c>
      <c r="W53" s="233">
        <f t="shared" si="7"/>
        <v>12500</v>
      </c>
      <c r="X53" s="234">
        <f t="shared" si="11"/>
        <v>0</v>
      </c>
      <c r="Y53" s="233">
        <f t="shared" si="8"/>
        <v>0</v>
      </c>
      <c r="Z53" s="247">
        <v>50</v>
      </c>
      <c r="AA53" s="236">
        <f t="shared" si="12"/>
        <v>0</v>
      </c>
      <c r="AB53" s="172"/>
      <c r="AC53" s="172">
        <v>77900</v>
      </c>
      <c r="AD53" s="172">
        <v>0</v>
      </c>
      <c r="AE53" s="172">
        <v>0</v>
      </c>
      <c r="AF53" s="224"/>
      <c r="AG53" s="224"/>
      <c r="AH53" s="224"/>
      <c r="AI53" s="224"/>
      <c r="AJ53" s="179"/>
      <c r="AK53" s="179"/>
      <c r="AL53" s="179"/>
      <c r="AM53" s="179"/>
      <c r="AN53" s="179"/>
      <c r="AO53" s="179"/>
      <c r="AP53" s="179"/>
      <c r="AQ53" s="179"/>
      <c r="AR53" s="181"/>
      <c r="AS53" s="181"/>
      <c r="AT53" s="181"/>
      <c r="AU53" s="181"/>
    </row>
    <row r="54" spans="1:47" s="182" customFormat="1" ht="11.4" thickTop="1" thickBot="1" x14ac:dyDescent="0.25">
      <c r="A54" s="237">
        <v>51</v>
      </c>
      <c r="B54" s="248" t="s">
        <v>125</v>
      </c>
      <c r="C54" s="224">
        <v>0</v>
      </c>
      <c r="D54" s="225">
        <v>0</v>
      </c>
      <c r="E54" s="241">
        <v>8300</v>
      </c>
      <c r="F54" s="227">
        <v>2000</v>
      </c>
      <c r="G54" s="227">
        <v>8300</v>
      </c>
      <c r="H54" s="227">
        <v>8300</v>
      </c>
      <c r="I54" s="227">
        <v>3500</v>
      </c>
      <c r="J54" s="242">
        <v>4000</v>
      </c>
      <c r="K54" s="243">
        <v>8300</v>
      </c>
      <c r="L54" s="244">
        <v>500</v>
      </c>
      <c r="M54" s="244">
        <v>8500</v>
      </c>
      <c r="N54" s="245">
        <v>9200</v>
      </c>
      <c r="O54" s="227">
        <v>6000</v>
      </c>
      <c r="P54" s="228">
        <f>9700+1300</f>
        <v>11000</v>
      </c>
      <c r="Q54" s="230">
        <f>11000+1050+450</f>
        <v>12500</v>
      </c>
      <c r="R54" s="229">
        <f t="shared" si="4"/>
        <v>74400</v>
      </c>
      <c r="S54" s="226">
        <f t="shared" si="5"/>
        <v>16000</v>
      </c>
      <c r="T54" s="400">
        <f t="shared" si="6"/>
        <v>90400</v>
      </c>
      <c r="U54" s="246">
        <f t="shared" si="9"/>
        <v>0</v>
      </c>
      <c r="V54" s="232">
        <f t="shared" si="10"/>
        <v>0</v>
      </c>
      <c r="W54" s="233">
        <f t="shared" si="7"/>
        <v>0</v>
      </c>
      <c r="X54" s="234">
        <f t="shared" si="11"/>
        <v>-12500</v>
      </c>
      <c r="Y54" s="233">
        <f t="shared" si="8"/>
        <v>-12500</v>
      </c>
      <c r="Z54" s="247">
        <v>51</v>
      </c>
      <c r="AA54" s="236">
        <f t="shared" si="12"/>
        <v>1500</v>
      </c>
      <c r="AB54" s="172"/>
      <c r="AC54" s="172">
        <v>88900</v>
      </c>
      <c r="AD54" s="172">
        <v>0</v>
      </c>
      <c r="AE54" s="172">
        <v>0</v>
      </c>
      <c r="AF54" s="224"/>
      <c r="AG54" s="224"/>
      <c r="AH54" s="224"/>
      <c r="AI54" s="224"/>
      <c r="AJ54" s="179"/>
      <c r="AK54" s="179"/>
      <c r="AL54" s="179"/>
      <c r="AM54" s="179"/>
      <c r="AN54" s="179"/>
      <c r="AO54" s="179"/>
      <c r="AP54" s="179"/>
      <c r="AQ54" s="179"/>
      <c r="AR54" s="181"/>
      <c r="AS54" s="181"/>
      <c r="AT54" s="181"/>
      <c r="AU54" s="181"/>
    </row>
    <row r="55" spans="1:47" s="182" customFormat="1" ht="11.4" thickTop="1" thickBot="1" x14ac:dyDescent="0.25">
      <c r="A55" s="237">
        <v>52</v>
      </c>
      <c r="B55" s="248" t="s">
        <v>30</v>
      </c>
      <c r="C55" s="239">
        <v>25000</v>
      </c>
      <c r="D55" s="269">
        <v>8700</v>
      </c>
      <c r="E55" s="241"/>
      <c r="F55" s="227"/>
      <c r="G55" s="227"/>
      <c r="H55" s="227"/>
      <c r="I55" s="227"/>
      <c r="J55" s="242"/>
      <c r="K55" s="243"/>
      <c r="L55" s="244"/>
      <c r="M55" s="244"/>
      <c r="N55" s="245"/>
      <c r="O55" s="227"/>
      <c r="P55" s="228"/>
      <c r="Q55" s="230"/>
      <c r="R55" s="229">
        <f t="shared" si="4"/>
        <v>0</v>
      </c>
      <c r="S55" s="226">
        <f t="shared" si="5"/>
        <v>0</v>
      </c>
      <c r="T55" s="400">
        <f t="shared" si="6"/>
        <v>0</v>
      </c>
      <c r="U55" s="246">
        <f t="shared" si="9"/>
        <v>41000</v>
      </c>
      <c r="V55" s="232">
        <f t="shared" si="10"/>
        <v>83100</v>
      </c>
      <c r="W55" s="233">
        <f t="shared" si="7"/>
        <v>124100</v>
      </c>
      <c r="X55" s="234">
        <f t="shared" si="11"/>
        <v>70600</v>
      </c>
      <c r="Y55" s="233">
        <f t="shared" si="8"/>
        <v>111600</v>
      </c>
      <c r="Z55" s="247">
        <v>52</v>
      </c>
      <c r="AA55" s="236">
        <f t="shared" si="12"/>
        <v>0</v>
      </c>
      <c r="AB55" s="172"/>
      <c r="AC55" s="172">
        <v>0</v>
      </c>
      <c r="AD55" s="172">
        <v>25000</v>
      </c>
      <c r="AE55" s="172">
        <v>8700</v>
      </c>
      <c r="AF55" s="224"/>
      <c r="AG55" s="224"/>
      <c r="AH55" s="224"/>
      <c r="AI55" s="224"/>
      <c r="AJ55" s="179"/>
      <c r="AK55" s="179"/>
      <c r="AL55" s="179"/>
      <c r="AM55" s="179"/>
      <c r="AN55" s="179"/>
      <c r="AO55" s="179"/>
      <c r="AP55" s="179"/>
      <c r="AQ55" s="179"/>
      <c r="AR55" s="181"/>
      <c r="AS55" s="181"/>
      <c r="AT55" s="181"/>
      <c r="AU55" s="181"/>
    </row>
    <row r="56" spans="1:47" s="182" customFormat="1" ht="11.4" thickTop="1" thickBot="1" x14ac:dyDescent="0.25">
      <c r="A56" s="237">
        <v>53</v>
      </c>
      <c r="B56" s="248" t="s">
        <v>31</v>
      </c>
      <c r="C56" s="224">
        <v>0</v>
      </c>
      <c r="D56" s="270">
        <v>0</v>
      </c>
      <c r="E56" s="227">
        <v>8300</v>
      </c>
      <c r="F56" s="227">
        <v>2000</v>
      </c>
      <c r="G56" s="227">
        <v>8300</v>
      </c>
      <c r="H56" s="227">
        <v>8300</v>
      </c>
      <c r="I56" s="227">
        <v>3500</v>
      </c>
      <c r="J56" s="242">
        <v>4000</v>
      </c>
      <c r="K56" s="243">
        <v>8300</v>
      </c>
      <c r="L56" s="244">
        <v>500</v>
      </c>
      <c r="M56" s="244">
        <v>8500</v>
      </c>
      <c r="N56" s="245">
        <v>9200</v>
      </c>
      <c r="O56" s="227">
        <v>6000</v>
      </c>
      <c r="P56" s="228">
        <v>11000</v>
      </c>
      <c r="Q56" s="230">
        <f>5517+6983</f>
        <v>12500</v>
      </c>
      <c r="R56" s="229">
        <f t="shared" si="4"/>
        <v>74400</v>
      </c>
      <c r="S56" s="226">
        <f t="shared" si="5"/>
        <v>16000</v>
      </c>
      <c r="T56" s="400">
        <f t="shared" si="6"/>
        <v>90400</v>
      </c>
      <c r="U56" s="246">
        <f t="shared" si="9"/>
        <v>0</v>
      </c>
      <c r="V56" s="232">
        <f t="shared" si="10"/>
        <v>0</v>
      </c>
      <c r="W56" s="233">
        <f t="shared" si="7"/>
        <v>0</v>
      </c>
      <c r="X56" s="234">
        <f t="shared" si="11"/>
        <v>-12500</v>
      </c>
      <c r="Y56" s="233">
        <f t="shared" si="8"/>
        <v>-12500</v>
      </c>
      <c r="Z56" s="247">
        <v>53</v>
      </c>
      <c r="AA56" s="236">
        <f t="shared" si="12"/>
        <v>0</v>
      </c>
      <c r="AB56" s="172"/>
      <c r="AC56" s="172">
        <v>90400</v>
      </c>
      <c r="AD56" s="172">
        <v>0</v>
      </c>
      <c r="AE56" s="172">
        <v>0</v>
      </c>
      <c r="AF56" s="224"/>
      <c r="AG56" s="224"/>
      <c r="AH56" s="224"/>
      <c r="AI56" s="224"/>
      <c r="AJ56" s="179"/>
      <c r="AK56" s="179"/>
      <c r="AL56" s="179"/>
      <c r="AM56" s="179"/>
      <c r="AN56" s="179"/>
      <c r="AO56" s="179"/>
      <c r="AP56" s="179"/>
      <c r="AQ56" s="179"/>
      <c r="AR56" s="181"/>
      <c r="AS56" s="181"/>
      <c r="AT56" s="181"/>
      <c r="AU56" s="181"/>
    </row>
    <row r="57" spans="1:47" s="182" customFormat="1" ht="11.4" thickTop="1" thickBot="1" x14ac:dyDescent="0.25">
      <c r="A57" s="237">
        <v>54</v>
      </c>
      <c r="B57" s="248" t="s">
        <v>32</v>
      </c>
      <c r="C57" s="224">
        <v>0</v>
      </c>
      <c r="D57" s="251">
        <v>0</v>
      </c>
      <c r="E57" s="241">
        <v>8300</v>
      </c>
      <c r="F57" s="227">
        <v>2000</v>
      </c>
      <c r="G57" s="227">
        <v>8300</v>
      </c>
      <c r="H57" s="227">
        <v>8300</v>
      </c>
      <c r="I57" s="227">
        <v>3500</v>
      </c>
      <c r="J57" s="242">
        <v>4000</v>
      </c>
      <c r="K57" s="243">
        <v>8300</v>
      </c>
      <c r="L57" s="244">
        <v>500</v>
      </c>
      <c r="M57" s="244">
        <v>8500</v>
      </c>
      <c r="N57" s="245">
        <v>9200</v>
      </c>
      <c r="O57" s="227">
        <v>6000</v>
      </c>
      <c r="P57" s="228">
        <f>10300+700</f>
        <v>11000</v>
      </c>
      <c r="Q57" s="230">
        <f>800+1950+5580+850</f>
        <v>9180</v>
      </c>
      <c r="R57" s="229">
        <f t="shared" si="4"/>
        <v>71080</v>
      </c>
      <c r="S57" s="226">
        <f t="shared" si="5"/>
        <v>16000</v>
      </c>
      <c r="T57" s="400">
        <f t="shared" si="6"/>
        <v>87080</v>
      </c>
      <c r="U57" s="246">
        <f t="shared" si="9"/>
        <v>0</v>
      </c>
      <c r="V57" s="232">
        <f t="shared" si="10"/>
        <v>3320</v>
      </c>
      <c r="W57" s="233">
        <f t="shared" si="7"/>
        <v>3320</v>
      </c>
      <c r="X57" s="234">
        <f t="shared" si="11"/>
        <v>-9180</v>
      </c>
      <c r="Y57" s="233">
        <f t="shared" si="8"/>
        <v>-9180</v>
      </c>
      <c r="Z57" s="247">
        <v>54</v>
      </c>
      <c r="AA57" s="236">
        <f t="shared" si="12"/>
        <v>0</v>
      </c>
      <c r="AB57" s="172"/>
      <c r="AC57" s="172">
        <v>87080</v>
      </c>
      <c r="AD57" s="172">
        <v>0</v>
      </c>
      <c r="AE57" s="172">
        <v>0</v>
      </c>
      <c r="AF57" s="224"/>
      <c r="AG57" s="224"/>
      <c r="AH57" s="224"/>
      <c r="AI57" s="224"/>
      <c r="AJ57" s="179"/>
      <c r="AK57" s="179"/>
      <c r="AL57" s="179"/>
      <c r="AM57" s="179"/>
      <c r="AN57" s="179"/>
      <c r="AO57" s="179"/>
      <c r="AP57" s="179"/>
      <c r="AQ57" s="179"/>
      <c r="AR57" s="181"/>
      <c r="AS57" s="181"/>
      <c r="AT57" s="181"/>
      <c r="AU57" s="181"/>
    </row>
    <row r="58" spans="1:47" s="182" customFormat="1" ht="11.4" thickTop="1" thickBot="1" x14ac:dyDescent="0.25">
      <c r="A58" s="237">
        <v>55</v>
      </c>
      <c r="B58" s="248" t="s">
        <v>33</v>
      </c>
      <c r="C58" s="224">
        <v>0</v>
      </c>
      <c r="D58" s="225">
        <v>0</v>
      </c>
      <c r="E58" s="241">
        <v>8300</v>
      </c>
      <c r="F58" s="227">
        <v>2000</v>
      </c>
      <c r="G58" s="227">
        <v>8300</v>
      </c>
      <c r="H58" s="227">
        <v>8300</v>
      </c>
      <c r="I58" s="227">
        <v>3500</v>
      </c>
      <c r="J58" s="242">
        <v>4000</v>
      </c>
      <c r="K58" s="243">
        <v>8300</v>
      </c>
      <c r="L58" s="244">
        <v>500</v>
      </c>
      <c r="M58" s="244">
        <v>8500</v>
      </c>
      <c r="N58" s="245">
        <v>9200</v>
      </c>
      <c r="O58" s="227">
        <v>6000</v>
      </c>
      <c r="P58" s="228">
        <f>4600+5484+916</f>
        <v>11000</v>
      </c>
      <c r="Q58" s="230">
        <f>4584+4791+2084</f>
        <v>11459</v>
      </c>
      <c r="R58" s="229">
        <f t="shared" si="4"/>
        <v>73359</v>
      </c>
      <c r="S58" s="226">
        <f t="shared" si="5"/>
        <v>16000</v>
      </c>
      <c r="T58" s="400">
        <f t="shared" si="6"/>
        <v>89359</v>
      </c>
      <c r="U58" s="246">
        <f t="shared" si="9"/>
        <v>0</v>
      </c>
      <c r="V58" s="232">
        <f t="shared" si="10"/>
        <v>1041</v>
      </c>
      <c r="W58" s="233">
        <f t="shared" si="7"/>
        <v>1041</v>
      </c>
      <c r="X58" s="234">
        <f t="shared" si="11"/>
        <v>-11459</v>
      </c>
      <c r="Y58" s="233">
        <f t="shared" si="8"/>
        <v>-11459</v>
      </c>
      <c r="Z58" s="247">
        <v>55</v>
      </c>
      <c r="AA58" s="236">
        <f t="shared" si="12"/>
        <v>2084</v>
      </c>
      <c r="AB58" s="172"/>
      <c r="AC58" s="172">
        <v>87275</v>
      </c>
      <c r="AD58" s="172">
        <v>0</v>
      </c>
      <c r="AE58" s="172">
        <v>0</v>
      </c>
      <c r="AF58" s="224"/>
      <c r="AG58" s="224"/>
      <c r="AH58" s="224"/>
      <c r="AI58" s="224"/>
      <c r="AJ58" s="179"/>
      <c r="AK58" s="179"/>
      <c r="AL58" s="179"/>
      <c r="AM58" s="179"/>
      <c r="AN58" s="179"/>
      <c r="AO58" s="179"/>
      <c r="AP58" s="179"/>
      <c r="AQ58" s="179"/>
      <c r="AR58" s="181"/>
      <c r="AS58" s="181"/>
      <c r="AT58" s="181"/>
      <c r="AU58" s="181"/>
    </row>
    <row r="59" spans="1:47" s="182" customFormat="1" ht="11.4" thickTop="1" thickBot="1" x14ac:dyDescent="0.25">
      <c r="A59" s="237">
        <v>56</v>
      </c>
      <c r="B59" s="248" t="s">
        <v>557</v>
      </c>
      <c r="C59" s="224">
        <v>0</v>
      </c>
      <c r="D59" s="225">
        <v>0</v>
      </c>
      <c r="E59" s="241">
        <v>8300</v>
      </c>
      <c r="F59" s="227">
        <v>2000</v>
      </c>
      <c r="G59" s="227">
        <v>8300</v>
      </c>
      <c r="H59" s="227">
        <v>8300</v>
      </c>
      <c r="I59" s="227">
        <v>3500</v>
      </c>
      <c r="J59" s="242">
        <v>4000</v>
      </c>
      <c r="K59" s="243">
        <v>8300</v>
      </c>
      <c r="L59" s="244">
        <v>500</v>
      </c>
      <c r="M59" s="244">
        <v>8500</v>
      </c>
      <c r="N59" s="245">
        <v>9200</v>
      </c>
      <c r="O59" s="227">
        <v>6000</v>
      </c>
      <c r="P59" s="228">
        <v>11000</v>
      </c>
      <c r="Q59" s="230">
        <f>2750+5000+4750</f>
        <v>12500</v>
      </c>
      <c r="R59" s="229">
        <f t="shared" si="4"/>
        <v>74400</v>
      </c>
      <c r="S59" s="226">
        <f t="shared" si="5"/>
        <v>16000</v>
      </c>
      <c r="T59" s="400">
        <f t="shared" si="6"/>
        <v>90400</v>
      </c>
      <c r="U59" s="246">
        <f t="shared" si="9"/>
        <v>0</v>
      </c>
      <c r="V59" s="232">
        <f t="shared" si="10"/>
        <v>0</v>
      </c>
      <c r="W59" s="233">
        <f t="shared" si="7"/>
        <v>0</v>
      </c>
      <c r="X59" s="234">
        <f t="shared" si="11"/>
        <v>-12500</v>
      </c>
      <c r="Y59" s="233">
        <f t="shared" si="8"/>
        <v>-12500</v>
      </c>
      <c r="Z59" s="247">
        <v>56</v>
      </c>
      <c r="AA59" s="236">
        <f t="shared" si="12"/>
        <v>4750</v>
      </c>
      <c r="AB59" s="172"/>
      <c r="AC59" s="172">
        <v>85650</v>
      </c>
      <c r="AD59" s="172">
        <v>0</v>
      </c>
      <c r="AE59" s="172">
        <v>0</v>
      </c>
      <c r="AF59" s="224"/>
      <c r="AG59" s="224"/>
      <c r="AH59" s="224"/>
      <c r="AI59" s="224"/>
      <c r="AJ59" s="179"/>
      <c r="AK59" s="179"/>
      <c r="AL59" s="179"/>
      <c r="AM59" s="179"/>
      <c r="AN59" s="179"/>
      <c r="AO59" s="179"/>
      <c r="AP59" s="179"/>
      <c r="AQ59" s="179"/>
      <c r="AR59" s="181"/>
      <c r="AS59" s="181"/>
      <c r="AT59" s="181"/>
      <c r="AU59" s="181"/>
    </row>
    <row r="60" spans="1:47" s="182" customFormat="1" ht="11.4" thickTop="1" thickBot="1" x14ac:dyDescent="0.25">
      <c r="A60" s="237">
        <v>57</v>
      </c>
      <c r="B60" s="248" t="s">
        <v>629</v>
      </c>
      <c r="C60" s="224">
        <v>0</v>
      </c>
      <c r="D60" s="225">
        <v>0</v>
      </c>
      <c r="E60" s="241">
        <v>8300</v>
      </c>
      <c r="F60" s="227">
        <v>2000</v>
      </c>
      <c r="G60" s="227">
        <v>8300</v>
      </c>
      <c r="H60" s="227">
        <v>8300</v>
      </c>
      <c r="I60" s="227">
        <v>3500</v>
      </c>
      <c r="J60" s="242">
        <v>4000</v>
      </c>
      <c r="K60" s="243">
        <v>8300</v>
      </c>
      <c r="L60" s="244">
        <v>500</v>
      </c>
      <c r="M60" s="244">
        <f>3000+5500</f>
        <v>8500</v>
      </c>
      <c r="N60" s="245">
        <v>9200</v>
      </c>
      <c r="O60" s="227">
        <f>1600+4400</f>
        <v>6000</v>
      </c>
      <c r="P60" s="228">
        <f>7334+3666</f>
        <v>11000</v>
      </c>
      <c r="Q60" s="230">
        <f>5000+7500</f>
        <v>12500</v>
      </c>
      <c r="R60" s="229">
        <f t="shared" si="4"/>
        <v>74400</v>
      </c>
      <c r="S60" s="226">
        <f t="shared" si="5"/>
        <v>16000</v>
      </c>
      <c r="T60" s="400">
        <f t="shared" si="6"/>
        <v>90400</v>
      </c>
      <c r="U60" s="246">
        <f t="shared" si="9"/>
        <v>0</v>
      </c>
      <c r="V60" s="232">
        <f t="shared" si="10"/>
        <v>0</v>
      </c>
      <c r="W60" s="233">
        <f t="shared" si="7"/>
        <v>0</v>
      </c>
      <c r="X60" s="234">
        <f t="shared" si="11"/>
        <v>-12500</v>
      </c>
      <c r="Y60" s="233">
        <f t="shared" si="8"/>
        <v>-12500</v>
      </c>
      <c r="Z60" s="247">
        <v>57</v>
      </c>
      <c r="AA60" s="236">
        <f t="shared" si="12"/>
        <v>7500</v>
      </c>
      <c r="AB60" s="172"/>
      <c r="AC60" s="172">
        <v>82900</v>
      </c>
      <c r="AD60" s="172">
        <v>0</v>
      </c>
      <c r="AE60" s="172">
        <v>0</v>
      </c>
      <c r="AF60" s="224"/>
      <c r="AG60" s="224"/>
      <c r="AH60" s="224"/>
      <c r="AI60" s="224"/>
      <c r="AJ60" s="179"/>
      <c r="AK60" s="179"/>
      <c r="AL60" s="179"/>
      <c r="AM60" s="179"/>
      <c r="AN60" s="179"/>
      <c r="AO60" s="179"/>
      <c r="AP60" s="179"/>
      <c r="AQ60" s="179"/>
      <c r="AR60" s="181"/>
      <c r="AS60" s="181"/>
      <c r="AT60" s="181"/>
      <c r="AU60" s="181"/>
    </row>
    <row r="61" spans="1:47" s="182" customFormat="1" ht="11.4" thickTop="1" thickBot="1" x14ac:dyDescent="0.25">
      <c r="A61" s="237">
        <v>58</v>
      </c>
      <c r="B61" s="248" t="s">
        <v>34</v>
      </c>
      <c r="C61" s="224">
        <v>0</v>
      </c>
      <c r="D61" s="225">
        <v>0</v>
      </c>
      <c r="E61" s="241">
        <v>8300</v>
      </c>
      <c r="F61" s="227">
        <v>2000</v>
      </c>
      <c r="G61" s="227">
        <v>8300</v>
      </c>
      <c r="H61" s="227">
        <v>8300</v>
      </c>
      <c r="I61" s="227"/>
      <c r="J61" s="242"/>
      <c r="K61" s="243">
        <v>8300</v>
      </c>
      <c r="L61" s="244">
        <v>500</v>
      </c>
      <c r="M61" s="244">
        <f>3000+5500</f>
        <v>8500</v>
      </c>
      <c r="N61" s="245">
        <v>9200</v>
      </c>
      <c r="O61" s="227">
        <v>6000</v>
      </c>
      <c r="P61" s="228">
        <f>8500+2500</f>
        <v>11000</v>
      </c>
      <c r="Q61" s="230">
        <f>7500+1459</f>
        <v>8959</v>
      </c>
      <c r="R61" s="229">
        <f t="shared" si="4"/>
        <v>70859</v>
      </c>
      <c r="S61" s="226">
        <f t="shared" si="5"/>
        <v>8500</v>
      </c>
      <c r="T61" s="400">
        <f t="shared" si="6"/>
        <v>79359</v>
      </c>
      <c r="U61" s="246">
        <f t="shared" si="9"/>
        <v>7500</v>
      </c>
      <c r="V61" s="232">
        <f t="shared" si="10"/>
        <v>3541</v>
      </c>
      <c r="W61" s="233">
        <f t="shared" si="7"/>
        <v>11041</v>
      </c>
      <c r="X61" s="234">
        <f t="shared" si="11"/>
        <v>-8959</v>
      </c>
      <c r="Y61" s="233">
        <f t="shared" si="8"/>
        <v>-1459</v>
      </c>
      <c r="Z61" s="247">
        <v>58</v>
      </c>
      <c r="AA61" s="236">
        <f t="shared" si="12"/>
        <v>0</v>
      </c>
      <c r="AB61" s="172"/>
      <c r="AC61" s="172">
        <v>79359</v>
      </c>
      <c r="AD61" s="172">
        <v>0</v>
      </c>
      <c r="AE61" s="172">
        <v>0</v>
      </c>
      <c r="AF61" s="224"/>
      <c r="AG61" s="224"/>
      <c r="AH61" s="224"/>
      <c r="AI61" s="224"/>
      <c r="AJ61" s="179"/>
      <c r="AK61" s="179"/>
      <c r="AL61" s="179"/>
      <c r="AM61" s="179"/>
      <c r="AN61" s="179"/>
      <c r="AO61" s="179"/>
      <c r="AP61" s="179"/>
      <c r="AQ61" s="179"/>
      <c r="AR61" s="181"/>
      <c r="AS61" s="181"/>
      <c r="AT61" s="181"/>
      <c r="AU61" s="181"/>
    </row>
    <row r="62" spans="1:47" s="182" customFormat="1" ht="11.4" thickTop="1" thickBot="1" x14ac:dyDescent="0.25">
      <c r="A62" s="237">
        <v>59</v>
      </c>
      <c r="B62" s="248" t="s">
        <v>144</v>
      </c>
      <c r="C62" s="239">
        <v>0</v>
      </c>
      <c r="D62" s="225">
        <f>4200-3000-1200</f>
        <v>0</v>
      </c>
      <c r="E62" s="241">
        <f>4500+3800</f>
        <v>8300</v>
      </c>
      <c r="F62" s="227">
        <v>2000</v>
      </c>
      <c r="G62" s="227">
        <f>6000+2300</f>
        <v>8300</v>
      </c>
      <c r="H62" s="227">
        <v>8300</v>
      </c>
      <c r="I62" s="227">
        <v>3500</v>
      </c>
      <c r="J62" s="242">
        <v>4000</v>
      </c>
      <c r="K62" s="243">
        <v>8300</v>
      </c>
      <c r="L62" s="244">
        <v>500</v>
      </c>
      <c r="M62" s="244">
        <v>8500</v>
      </c>
      <c r="N62" s="245">
        <v>9200</v>
      </c>
      <c r="O62" s="227">
        <v>6000</v>
      </c>
      <c r="P62" s="228">
        <v>11000</v>
      </c>
      <c r="Q62" s="230"/>
      <c r="R62" s="229">
        <f t="shared" si="4"/>
        <v>61900</v>
      </c>
      <c r="S62" s="226">
        <f t="shared" si="5"/>
        <v>16000</v>
      </c>
      <c r="T62" s="400">
        <f t="shared" si="6"/>
        <v>77900</v>
      </c>
      <c r="U62" s="246">
        <f t="shared" si="9"/>
        <v>0</v>
      </c>
      <c r="V62" s="232">
        <f t="shared" si="10"/>
        <v>12500</v>
      </c>
      <c r="W62" s="233">
        <f t="shared" si="7"/>
        <v>12500</v>
      </c>
      <c r="X62" s="234">
        <f t="shared" si="11"/>
        <v>0</v>
      </c>
      <c r="Y62" s="233">
        <f t="shared" si="8"/>
        <v>0</v>
      </c>
      <c r="Z62" s="247">
        <v>59</v>
      </c>
      <c r="AA62" s="236">
        <f t="shared" si="12"/>
        <v>0</v>
      </c>
      <c r="AB62" s="172"/>
      <c r="AC62" s="172">
        <v>77900</v>
      </c>
      <c r="AD62" s="172">
        <v>0</v>
      </c>
      <c r="AE62" s="172">
        <v>0</v>
      </c>
      <c r="AF62" s="224"/>
      <c r="AG62" s="224"/>
      <c r="AH62" s="224"/>
      <c r="AI62" s="224"/>
      <c r="AJ62" s="179"/>
      <c r="AK62" s="179"/>
      <c r="AL62" s="179"/>
      <c r="AM62" s="179"/>
      <c r="AN62" s="179"/>
      <c r="AO62" s="179"/>
      <c r="AP62" s="179"/>
      <c r="AQ62" s="179"/>
      <c r="AR62" s="181"/>
      <c r="AS62" s="181"/>
      <c r="AT62" s="181"/>
      <c r="AU62" s="181"/>
    </row>
    <row r="63" spans="1:47" s="182" customFormat="1" ht="11.4" thickTop="1" thickBot="1" x14ac:dyDescent="0.25">
      <c r="A63" s="237">
        <v>60</v>
      </c>
      <c r="B63" s="248" t="s">
        <v>35</v>
      </c>
      <c r="C63" s="224">
        <v>0</v>
      </c>
      <c r="D63" s="225">
        <v>0</v>
      </c>
      <c r="E63" s="241">
        <v>8300</v>
      </c>
      <c r="F63" s="227">
        <v>2000</v>
      </c>
      <c r="G63" s="227">
        <v>8300</v>
      </c>
      <c r="H63" s="227">
        <v>8300</v>
      </c>
      <c r="I63" s="227">
        <v>3500</v>
      </c>
      <c r="J63" s="242"/>
      <c r="K63" s="243">
        <v>8300</v>
      </c>
      <c r="L63" s="244"/>
      <c r="M63" s="244">
        <f>7500+1000</f>
        <v>8500</v>
      </c>
      <c r="N63" s="245">
        <f>5200+2000</f>
        <v>7200</v>
      </c>
      <c r="O63" s="227">
        <v>6000</v>
      </c>
      <c r="P63" s="228">
        <f>5000+5000</f>
        <v>10000</v>
      </c>
      <c r="Q63" s="230">
        <f>2000+5000</f>
        <v>7000</v>
      </c>
      <c r="R63" s="229">
        <f t="shared" si="4"/>
        <v>65900</v>
      </c>
      <c r="S63" s="226">
        <f t="shared" si="5"/>
        <v>11500</v>
      </c>
      <c r="T63" s="400">
        <f t="shared" si="6"/>
        <v>77400</v>
      </c>
      <c r="U63" s="246">
        <f t="shared" ref="U63:U104" si="13">S$173-S63+C63</f>
        <v>4500</v>
      </c>
      <c r="V63" s="232">
        <f t="shared" si="10"/>
        <v>8500</v>
      </c>
      <c r="W63" s="233">
        <f t="shared" si="7"/>
        <v>13000</v>
      </c>
      <c r="X63" s="234">
        <f t="shared" si="11"/>
        <v>-4000</v>
      </c>
      <c r="Y63" s="233">
        <f t="shared" si="8"/>
        <v>500</v>
      </c>
      <c r="Z63" s="247">
        <v>60</v>
      </c>
      <c r="AA63" s="236">
        <f t="shared" si="12"/>
        <v>0</v>
      </c>
      <c r="AB63" s="172"/>
      <c r="AC63" s="172">
        <v>77400</v>
      </c>
      <c r="AD63" s="172">
        <v>0</v>
      </c>
      <c r="AE63" s="172">
        <v>0</v>
      </c>
      <c r="AF63" s="224"/>
      <c r="AG63" s="224"/>
      <c r="AH63" s="224"/>
      <c r="AI63" s="224"/>
      <c r="AJ63" s="179"/>
      <c r="AK63" s="179"/>
      <c r="AL63" s="179"/>
      <c r="AM63" s="179"/>
      <c r="AN63" s="179"/>
      <c r="AO63" s="179"/>
      <c r="AP63" s="179"/>
      <c r="AQ63" s="179"/>
      <c r="AR63" s="181"/>
      <c r="AS63" s="181"/>
      <c r="AT63" s="181"/>
      <c r="AU63" s="181"/>
    </row>
    <row r="64" spans="1:47" s="182" customFormat="1" ht="11.4" thickTop="1" thickBot="1" x14ac:dyDescent="0.25">
      <c r="A64" s="237">
        <v>61</v>
      </c>
      <c r="B64" s="248" t="s">
        <v>435</v>
      </c>
      <c r="C64" s="224">
        <v>0</v>
      </c>
      <c r="D64" s="225">
        <v>0</v>
      </c>
      <c r="E64" s="241">
        <v>8300</v>
      </c>
      <c r="F64" s="227">
        <v>2000</v>
      </c>
      <c r="G64" s="227">
        <v>8300</v>
      </c>
      <c r="H64" s="227">
        <v>8300</v>
      </c>
      <c r="I64" s="227">
        <v>3500</v>
      </c>
      <c r="J64" s="242">
        <v>4000</v>
      </c>
      <c r="K64" s="252">
        <v>8300</v>
      </c>
      <c r="L64" s="244">
        <v>500</v>
      </c>
      <c r="M64" s="244">
        <v>8500</v>
      </c>
      <c r="N64" s="245">
        <v>9200</v>
      </c>
      <c r="O64" s="227">
        <v>6000</v>
      </c>
      <c r="P64" s="228">
        <f>7334+3666</f>
        <v>11000</v>
      </c>
      <c r="Q64" s="230">
        <f>5209+6000</f>
        <v>11209</v>
      </c>
      <c r="R64" s="229">
        <f t="shared" si="4"/>
        <v>73109</v>
      </c>
      <c r="S64" s="226">
        <f t="shared" si="5"/>
        <v>16000</v>
      </c>
      <c r="T64" s="400">
        <f t="shared" si="6"/>
        <v>89109</v>
      </c>
      <c r="U64" s="246">
        <f t="shared" si="13"/>
        <v>0</v>
      </c>
      <c r="V64" s="232">
        <f t="shared" si="10"/>
        <v>1291</v>
      </c>
      <c r="W64" s="233">
        <f t="shared" si="7"/>
        <v>1291</v>
      </c>
      <c r="X64" s="234">
        <f t="shared" si="11"/>
        <v>-11209</v>
      </c>
      <c r="Y64" s="233">
        <f t="shared" si="8"/>
        <v>-11209</v>
      </c>
      <c r="Z64" s="247">
        <v>61</v>
      </c>
      <c r="AA64" s="236">
        <f t="shared" si="12"/>
        <v>6000</v>
      </c>
      <c r="AB64" s="172"/>
      <c r="AC64" s="172">
        <v>83109</v>
      </c>
      <c r="AD64" s="172">
        <v>0</v>
      </c>
      <c r="AE64" s="172">
        <v>0</v>
      </c>
      <c r="AF64" s="224"/>
      <c r="AG64" s="224"/>
      <c r="AH64" s="224"/>
      <c r="AI64" s="224"/>
      <c r="AJ64" s="179"/>
      <c r="AK64" s="179"/>
      <c r="AL64" s="179"/>
      <c r="AM64" s="179"/>
      <c r="AN64" s="179"/>
      <c r="AO64" s="179"/>
      <c r="AP64" s="179"/>
      <c r="AQ64" s="179"/>
      <c r="AR64" s="181"/>
      <c r="AS64" s="181"/>
      <c r="AT64" s="181"/>
      <c r="AU64" s="181"/>
    </row>
    <row r="65" spans="1:47" s="182" customFormat="1" ht="11.4" thickTop="1" thickBot="1" x14ac:dyDescent="0.25">
      <c r="A65" s="237">
        <v>62</v>
      </c>
      <c r="B65" s="248" t="s">
        <v>36</v>
      </c>
      <c r="C65" s="224">
        <v>0</v>
      </c>
      <c r="D65" s="225">
        <v>0</v>
      </c>
      <c r="E65" s="241">
        <v>8300</v>
      </c>
      <c r="F65" s="227">
        <v>2000</v>
      </c>
      <c r="G65" s="227">
        <v>8300</v>
      </c>
      <c r="H65" s="227">
        <v>8300</v>
      </c>
      <c r="I65" s="227">
        <v>3500</v>
      </c>
      <c r="J65" s="242">
        <v>4000</v>
      </c>
      <c r="K65" s="252">
        <v>8300</v>
      </c>
      <c r="L65" s="244">
        <v>500</v>
      </c>
      <c r="M65" s="244">
        <v>8500</v>
      </c>
      <c r="N65" s="227">
        <v>9200</v>
      </c>
      <c r="O65" s="227">
        <v>6000</v>
      </c>
      <c r="P65" s="228">
        <v>11000</v>
      </c>
      <c r="Q65" s="230">
        <v>7292</v>
      </c>
      <c r="R65" s="229">
        <f t="shared" si="4"/>
        <v>69192</v>
      </c>
      <c r="S65" s="226">
        <f t="shared" si="5"/>
        <v>16000</v>
      </c>
      <c r="T65" s="400">
        <f t="shared" si="6"/>
        <v>85192</v>
      </c>
      <c r="U65" s="246">
        <f t="shared" si="13"/>
        <v>0</v>
      </c>
      <c r="V65" s="232">
        <f t="shared" si="10"/>
        <v>5208</v>
      </c>
      <c r="W65" s="233">
        <f t="shared" si="7"/>
        <v>5208</v>
      </c>
      <c r="X65" s="234">
        <f t="shared" si="11"/>
        <v>-7292</v>
      </c>
      <c r="Y65" s="233">
        <f t="shared" si="8"/>
        <v>-7292</v>
      </c>
      <c r="Z65" s="247">
        <v>62</v>
      </c>
      <c r="AA65" s="236">
        <f t="shared" si="12"/>
        <v>0</v>
      </c>
      <c r="AB65" s="172"/>
      <c r="AC65" s="172">
        <v>85192</v>
      </c>
      <c r="AD65" s="172">
        <v>0</v>
      </c>
      <c r="AE65" s="172">
        <v>0</v>
      </c>
      <c r="AF65" s="224"/>
      <c r="AG65" s="224"/>
      <c r="AH65" s="224"/>
      <c r="AI65" s="224"/>
      <c r="AJ65" s="179"/>
      <c r="AK65" s="179"/>
      <c r="AL65" s="179"/>
      <c r="AM65" s="179"/>
      <c r="AN65" s="179"/>
      <c r="AO65" s="179"/>
      <c r="AP65" s="179"/>
      <c r="AQ65" s="179"/>
      <c r="AR65" s="181"/>
      <c r="AS65" s="181"/>
      <c r="AT65" s="181"/>
      <c r="AU65" s="181"/>
    </row>
    <row r="66" spans="1:47" s="182" customFormat="1" ht="11.4" thickTop="1" thickBot="1" x14ac:dyDescent="0.25">
      <c r="A66" s="237">
        <v>63</v>
      </c>
      <c r="B66" s="248" t="s">
        <v>150</v>
      </c>
      <c r="C66" s="224">
        <v>0</v>
      </c>
      <c r="D66" s="225">
        <v>0</v>
      </c>
      <c r="E66" s="241">
        <v>8300</v>
      </c>
      <c r="F66" s="227">
        <v>2000</v>
      </c>
      <c r="G66" s="227">
        <v>8300</v>
      </c>
      <c r="H66" s="227">
        <v>8300</v>
      </c>
      <c r="I66" s="227">
        <v>3500</v>
      </c>
      <c r="J66" s="242">
        <f>300+3700</f>
        <v>4000</v>
      </c>
      <c r="K66" s="252">
        <v>8300</v>
      </c>
      <c r="L66" s="244">
        <v>500</v>
      </c>
      <c r="M66" s="244">
        <v>8500</v>
      </c>
      <c r="N66" s="245">
        <v>9200</v>
      </c>
      <c r="O66" s="227">
        <v>6000</v>
      </c>
      <c r="P66" s="228">
        <v>11000</v>
      </c>
      <c r="Q66" s="230">
        <f>1100+9900</f>
        <v>11000</v>
      </c>
      <c r="R66" s="229">
        <f t="shared" si="4"/>
        <v>72900</v>
      </c>
      <c r="S66" s="226">
        <f t="shared" si="5"/>
        <v>16000</v>
      </c>
      <c r="T66" s="400">
        <f t="shared" si="6"/>
        <v>88900</v>
      </c>
      <c r="U66" s="246">
        <f t="shared" si="13"/>
        <v>0</v>
      </c>
      <c r="V66" s="232">
        <f t="shared" si="10"/>
        <v>1500</v>
      </c>
      <c r="W66" s="233">
        <f t="shared" si="7"/>
        <v>1500</v>
      </c>
      <c r="X66" s="234">
        <f t="shared" si="11"/>
        <v>-11000</v>
      </c>
      <c r="Y66" s="233">
        <f t="shared" si="8"/>
        <v>-11000</v>
      </c>
      <c r="Z66" s="247">
        <v>63</v>
      </c>
      <c r="AA66" s="236">
        <f t="shared" si="12"/>
        <v>0</v>
      </c>
      <c r="AB66" s="172"/>
      <c r="AC66" s="172">
        <v>88900</v>
      </c>
      <c r="AD66" s="172">
        <v>0</v>
      </c>
      <c r="AE66" s="172">
        <v>0</v>
      </c>
      <c r="AF66" s="224"/>
      <c r="AG66" s="224"/>
      <c r="AH66" s="224"/>
      <c r="AI66" s="224"/>
      <c r="AJ66" s="179"/>
      <c r="AK66" s="179"/>
      <c r="AL66" s="179"/>
      <c r="AM66" s="179"/>
      <c r="AN66" s="179"/>
      <c r="AO66" s="179"/>
      <c r="AP66" s="179"/>
      <c r="AQ66" s="179"/>
      <c r="AR66" s="181"/>
      <c r="AS66" s="181"/>
      <c r="AT66" s="181"/>
      <c r="AU66" s="181"/>
    </row>
    <row r="67" spans="1:47" s="182" customFormat="1" ht="11.4" thickTop="1" thickBot="1" x14ac:dyDescent="0.25">
      <c r="A67" s="237">
        <v>64</v>
      </c>
      <c r="B67" s="248" t="s">
        <v>37</v>
      </c>
      <c r="C67" s="224">
        <v>0</v>
      </c>
      <c r="D67" s="225">
        <v>0</v>
      </c>
      <c r="E67" s="241">
        <v>8300</v>
      </c>
      <c r="F67" s="227">
        <v>2000</v>
      </c>
      <c r="G67" s="227">
        <v>8300</v>
      </c>
      <c r="H67" s="227">
        <v>8300</v>
      </c>
      <c r="I67" s="227">
        <v>3500</v>
      </c>
      <c r="J67" s="242">
        <v>500</v>
      </c>
      <c r="K67" s="252">
        <v>8300</v>
      </c>
      <c r="L67" s="244">
        <v>500</v>
      </c>
      <c r="M67" s="244">
        <v>8500</v>
      </c>
      <c r="N67" s="245">
        <f>7000+2200</f>
        <v>9200</v>
      </c>
      <c r="O67" s="227">
        <v>6000</v>
      </c>
      <c r="P67" s="228">
        <f>6000+5000</f>
        <v>11000</v>
      </c>
      <c r="Q67" s="230">
        <v>5000</v>
      </c>
      <c r="R67" s="229">
        <f t="shared" si="4"/>
        <v>66900</v>
      </c>
      <c r="S67" s="226">
        <f t="shared" si="5"/>
        <v>12500</v>
      </c>
      <c r="T67" s="400">
        <f t="shared" si="6"/>
        <v>79400</v>
      </c>
      <c r="U67" s="246">
        <f t="shared" si="13"/>
        <v>3500</v>
      </c>
      <c r="V67" s="232">
        <f t="shared" si="10"/>
        <v>7500</v>
      </c>
      <c r="W67" s="233">
        <f t="shared" si="7"/>
        <v>11000</v>
      </c>
      <c r="X67" s="234">
        <f t="shared" si="11"/>
        <v>-5000</v>
      </c>
      <c r="Y67" s="233">
        <f t="shared" si="8"/>
        <v>-1500</v>
      </c>
      <c r="Z67" s="247">
        <v>64</v>
      </c>
      <c r="AA67" s="236">
        <f t="shared" si="12"/>
        <v>0</v>
      </c>
      <c r="AB67" s="172"/>
      <c r="AC67" s="172">
        <v>79400</v>
      </c>
      <c r="AD67" s="172">
        <v>0</v>
      </c>
      <c r="AE67" s="172">
        <v>0</v>
      </c>
      <c r="AF67" s="224"/>
      <c r="AG67" s="224"/>
      <c r="AH67" s="224"/>
      <c r="AI67" s="224"/>
      <c r="AJ67" s="179"/>
      <c r="AK67" s="179"/>
      <c r="AL67" s="179"/>
      <c r="AM67" s="179"/>
      <c r="AN67" s="179"/>
      <c r="AO67" s="179"/>
      <c r="AP67" s="179"/>
      <c r="AQ67" s="179"/>
      <c r="AR67" s="181"/>
      <c r="AS67" s="181"/>
      <c r="AT67" s="181"/>
      <c r="AU67" s="181"/>
    </row>
    <row r="68" spans="1:47" s="182" customFormat="1" ht="11.4" thickTop="1" thickBot="1" x14ac:dyDescent="0.25">
      <c r="A68" s="237">
        <v>65</v>
      </c>
      <c r="B68" s="248" t="s">
        <v>38</v>
      </c>
      <c r="C68" s="224">
        <v>0</v>
      </c>
      <c r="D68" s="225">
        <v>0</v>
      </c>
      <c r="E68" s="241">
        <v>8300</v>
      </c>
      <c r="F68" s="227">
        <v>2000</v>
      </c>
      <c r="G68" s="227">
        <v>8300</v>
      </c>
      <c r="H68" s="227">
        <v>8300</v>
      </c>
      <c r="I68" s="227">
        <v>3500</v>
      </c>
      <c r="J68" s="242">
        <v>4000</v>
      </c>
      <c r="K68" s="252">
        <v>8300</v>
      </c>
      <c r="L68" s="244">
        <v>500</v>
      </c>
      <c r="M68" s="244">
        <v>8500</v>
      </c>
      <c r="N68" s="245">
        <v>9200</v>
      </c>
      <c r="O68" s="227">
        <v>6000</v>
      </c>
      <c r="P68" s="228">
        <v>917</v>
      </c>
      <c r="Q68" s="230"/>
      <c r="R68" s="229">
        <f t="shared" si="4"/>
        <v>51817</v>
      </c>
      <c r="S68" s="226">
        <f t="shared" si="5"/>
        <v>16000</v>
      </c>
      <c r="T68" s="400">
        <f t="shared" si="6"/>
        <v>67817</v>
      </c>
      <c r="U68" s="246">
        <f t="shared" si="13"/>
        <v>0</v>
      </c>
      <c r="V68" s="232">
        <f t="shared" si="10"/>
        <v>22583</v>
      </c>
      <c r="W68" s="233">
        <f t="shared" si="7"/>
        <v>22583</v>
      </c>
      <c r="X68" s="234">
        <f t="shared" si="11"/>
        <v>10083</v>
      </c>
      <c r="Y68" s="233">
        <f t="shared" si="8"/>
        <v>10083</v>
      </c>
      <c r="Z68" s="247">
        <v>65</v>
      </c>
      <c r="AA68" s="236">
        <f t="shared" si="12"/>
        <v>0</v>
      </c>
      <c r="AB68" s="172"/>
      <c r="AC68" s="172">
        <v>67817</v>
      </c>
      <c r="AD68" s="172">
        <v>0</v>
      </c>
      <c r="AE68" s="172">
        <v>0</v>
      </c>
      <c r="AF68" s="224"/>
      <c r="AG68" s="224"/>
      <c r="AH68" s="224"/>
      <c r="AI68" s="224"/>
      <c r="AJ68" s="179"/>
      <c r="AK68" s="179"/>
      <c r="AL68" s="179"/>
      <c r="AM68" s="179"/>
      <c r="AN68" s="179"/>
      <c r="AO68" s="179"/>
      <c r="AP68" s="179"/>
      <c r="AQ68" s="179"/>
      <c r="AR68" s="181"/>
      <c r="AS68" s="181"/>
      <c r="AT68" s="181"/>
      <c r="AU68" s="181"/>
    </row>
    <row r="69" spans="1:47" s="182" customFormat="1" ht="11.4" thickTop="1" thickBot="1" x14ac:dyDescent="0.25">
      <c r="A69" s="237">
        <v>66</v>
      </c>
      <c r="B69" s="248" t="s">
        <v>39</v>
      </c>
      <c r="C69" s="224">
        <v>0</v>
      </c>
      <c r="D69" s="225">
        <v>0</v>
      </c>
      <c r="E69" s="241">
        <v>8300</v>
      </c>
      <c r="F69" s="227">
        <v>2000</v>
      </c>
      <c r="G69" s="227">
        <v>8300</v>
      </c>
      <c r="H69" s="227">
        <v>8300</v>
      </c>
      <c r="I69" s="227">
        <v>3500</v>
      </c>
      <c r="J69" s="242">
        <v>4000</v>
      </c>
      <c r="K69" s="227">
        <v>8300</v>
      </c>
      <c r="L69" s="244">
        <v>500</v>
      </c>
      <c r="M69" s="227">
        <v>8500</v>
      </c>
      <c r="N69" s="245">
        <v>6902</v>
      </c>
      <c r="O69" s="227">
        <v>6000</v>
      </c>
      <c r="P69" s="228"/>
      <c r="Q69" s="230"/>
      <c r="R69" s="229">
        <f t="shared" si="4"/>
        <v>48602</v>
      </c>
      <c r="S69" s="226">
        <f t="shared" si="5"/>
        <v>16000</v>
      </c>
      <c r="T69" s="400">
        <f t="shared" si="6"/>
        <v>64602</v>
      </c>
      <c r="U69" s="246">
        <f t="shared" si="13"/>
        <v>0</v>
      </c>
      <c r="V69" s="232">
        <f t="shared" ref="V69:V104" si="14">IF(V$173-R69+D69&gt;0,ROUNDUP(V$173-R69+D69,0),0)</f>
        <v>25798</v>
      </c>
      <c r="W69" s="233">
        <f t="shared" si="7"/>
        <v>25798</v>
      </c>
      <c r="X69" s="234">
        <f t="shared" ref="X69:X100" si="15">SUM(E$4,G$4,H$4,K$4,M$4,N$4,P$4)+D69-R69</f>
        <v>13298</v>
      </c>
      <c r="Y69" s="233">
        <f t="shared" si="8"/>
        <v>13298</v>
      </c>
      <c r="Z69" s="247">
        <v>66</v>
      </c>
      <c r="AA69" s="236">
        <f t="shared" ref="AA69:AA100" si="16">T69-AC69-SUM(C69:D69)+SUM(AD69:AE69)</f>
        <v>0</v>
      </c>
      <c r="AB69" s="172"/>
      <c r="AC69" s="172">
        <v>64602</v>
      </c>
      <c r="AD69" s="172">
        <v>0</v>
      </c>
      <c r="AE69" s="172">
        <v>0</v>
      </c>
      <c r="AF69" s="224"/>
      <c r="AG69" s="224"/>
      <c r="AH69" s="224"/>
      <c r="AI69" s="224"/>
      <c r="AJ69" s="179"/>
      <c r="AK69" s="179"/>
      <c r="AL69" s="179"/>
      <c r="AM69" s="179"/>
      <c r="AN69" s="179"/>
      <c r="AO69" s="179"/>
      <c r="AP69" s="179"/>
      <c r="AQ69" s="179"/>
      <c r="AR69" s="181"/>
      <c r="AS69" s="181"/>
      <c r="AT69" s="181"/>
      <c r="AU69" s="181"/>
    </row>
    <row r="70" spans="1:47" s="182" customFormat="1" ht="11.4" thickTop="1" thickBot="1" x14ac:dyDescent="0.25">
      <c r="A70" s="237">
        <v>67</v>
      </c>
      <c r="B70" s="248" t="s">
        <v>122</v>
      </c>
      <c r="C70" s="224">
        <v>0</v>
      </c>
      <c r="D70" s="225">
        <v>0</v>
      </c>
      <c r="E70" s="241">
        <v>8300</v>
      </c>
      <c r="F70" s="227">
        <v>2000</v>
      </c>
      <c r="G70" s="227">
        <v>8300</v>
      </c>
      <c r="H70" s="227">
        <v>8300</v>
      </c>
      <c r="I70" s="227">
        <v>3500</v>
      </c>
      <c r="J70" s="242">
        <v>4000</v>
      </c>
      <c r="K70" s="252">
        <v>8300</v>
      </c>
      <c r="L70" s="244">
        <v>500</v>
      </c>
      <c r="M70" s="244">
        <v>8500</v>
      </c>
      <c r="N70" s="245">
        <f>8700+500</f>
        <v>9200</v>
      </c>
      <c r="O70" s="227">
        <v>6000</v>
      </c>
      <c r="P70" s="228">
        <v>11000</v>
      </c>
      <c r="Q70" s="230"/>
      <c r="R70" s="229">
        <f t="shared" ref="R70:R133" si="17">SUM(E70,G70,H70,K70,M70,N70,P70,Q70)</f>
        <v>61900</v>
      </c>
      <c r="S70" s="226">
        <f t="shared" ref="S70:S134" si="18">SUM(F70,I70,J70,L70,O70)</f>
        <v>16000</v>
      </c>
      <c r="T70" s="400">
        <f t="shared" ref="T70:T134" si="19">SUM(E70:Q70)</f>
        <v>77900</v>
      </c>
      <c r="U70" s="246">
        <f t="shared" si="13"/>
        <v>0</v>
      </c>
      <c r="V70" s="232">
        <f t="shared" si="14"/>
        <v>12500</v>
      </c>
      <c r="W70" s="233">
        <f t="shared" ref="W70:W134" si="20">IF((U70+V70)&lt;=0,0,U70+V70)</f>
        <v>12500</v>
      </c>
      <c r="X70" s="234">
        <f t="shared" si="15"/>
        <v>0</v>
      </c>
      <c r="Y70" s="233">
        <f t="shared" ref="Y70:Y134" si="21">U70+X70</f>
        <v>0</v>
      </c>
      <c r="Z70" s="247">
        <v>67</v>
      </c>
      <c r="AA70" s="236">
        <f t="shared" si="16"/>
        <v>0</v>
      </c>
      <c r="AB70" s="172"/>
      <c r="AC70" s="172">
        <v>77900</v>
      </c>
      <c r="AD70" s="172">
        <v>0</v>
      </c>
      <c r="AE70" s="172">
        <v>0</v>
      </c>
      <c r="AF70" s="224"/>
      <c r="AG70" s="224"/>
      <c r="AH70" s="224"/>
      <c r="AI70" s="224"/>
      <c r="AJ70" s="179"/>
      <c r="AK70" s="179"/>
      <c r="AL70" s="179"/>
      <c r="AM70" s="179"/>
      <c r="AN70" s="179"/>
      <c r="AO70" s="179"/>
      <c r="AP70" s="179"/>
      <c r="AQ70" s="179"/>
      <c r="AR70" s="181"/>
      <c r="AS70" s="181"/>
      <c r="AT70" s="181"/>
      <c r="AU70" s="181"/>
    </row>
    <row r="71" spans="1:47" s="182" customFormat="1" ht="11.4" thickTop="1" thickBot="1" x14ac:dyDescent="0.25">
      <c r="A71" s="237">
        <v>68</v>
      </c>
      <c r="B71" s="248" t="s">
        <v>121</v>
      </c>
      <c r="C71" s="224">
        <v>0</v>
      </c>
      <c r="D71" s="225">
        <v>0</v>
      </c>
      <c r="E71" s="241">
        <v>8300</v>
      </c>
      <c r="F71" s="227">
        <v>2000</v>
      </c>
      <c r="G71" s="227">
        <v>8300</v>
      </c>
      <c r="H71" s="227">
        <v>8300</v>
      </c>
      <c r="I71" s="227">
        <v>3500</v>
      </c>
      <c r="J71" s="242">
        <v>4000</v>
      </c>
      <c r="K71" s="252">
        <v>8300</v>
      </c>
      <c r="L71" s="244">
        <v>500</v>
      </c>
      <c r="M71" s="244">
        <v>8500</v>
      </c>
      <c r="N71" s="245">
        <v>9200</v>
      </c>
      <c r="O71" s="227">
        <v>6000</v>
      </c>
      <c r="P71" s="228">
        <v>11000</v>
      </c>
      <c r="Q71" s="230">
        <f>12000+13000</f>
        <v>25000</v>
      </c>
      <c r="R71" s="229">
        <f t="shared" si="17"/>
        <v>86900</v>
      </c>
      <c r="S71" s="226">
        <f t="shared" si="18"/>
        <v>16000</v>
      </c>
      <c r="T71" s="400">
        <f t="shared" si="19"/>
        <v>102900</v>
      </c>
      <c r="U71" s="246">
        <f t="shared" si="13"/>
        <v>0</v>
      </c>
      <c r="V71" s="232">
        <f t="shared" si="14"/>
        <v>0</v>
      </c>
      <c r="W71" s="233">
        <f t="shared" si="20"/>
        <v>0</v>
      </c>
      <c r="X71" s="234">
        <f t="shared" si="15"/>
        <v>-25000</v>
      </c>
      <c r="Y71" s="233">
        <f t="shared" si="21"/>
        <v>-25000</v>
      </c>
      <c r="Z71" s="247">
        <v>68</v>
      </c>
      <c r="AA71" s="236">
        <f t="shared" si="16"/>
        <v>0</v>
      </c>
      <c r="AB71" s="227">
        <v>9600</v>
      </c>
      <c r="AC71" s="172">
        <v>102900</v>
      </c>
      <c r="AD71" s="172">
        <v>0</v>
      </c>
      <c r="AE71" s="172">
        <v>0</v>
      </c>
      <c r="AF71" s="224"/>
      <c r="AG71" s="224"/>
      <c r="AH71" s="224"/>
      <c r="AI71" s="224"/>
      <c r="AJ71" s="179"/>
      <c r="AK71" s="179"/>
      <c r="AL71" s="179"/>
      <c r="AM71" s="179"/>
      <c r="AN71" s="179"/>
      <c r="AO71" s="179"/>
      <c r="AP71" s="179"/>
      <c r="AQ71" s="179"/>
      <c r="AR71" s="181"/>
      <c r="AS71" s="181"/>
      <c r="AT71" s="181"/>
      <c r="AU71" s="181"/>
    </row>
    <row r="72" spans="1:47" s="182" customFormat="1" ht="11.4" thickTop="1" thickBot="1" x14ac:dyDescent="0.25">
      <c r="A72" s="237">
        <v>69</v>
      </c>
      <c r="B72" s="248" t="s">
        <v>40</v>
      </c>
      <c r="C72" s="224">
        <v>0</v>
      </c>
      <c r="D72" s="225">
        <v>0</v>
      </c>
      <c r="E72" s="241">
        <v>8300</v>
      </c>
      <c r="F72" s="227">
        <v>2000</v>
      </c>
      <c r="G72" s="227">
        <v>8300</v>
      </c>
      <c r="H72" s="227">
        <v>8300</v>
      </c>
      <c r="I72" s="227">
        <v>3500</v>
      </c>
      <c r="J72" s="242">
        <v>4000</v>
      </c>
      <c r="K72" s="252">
        <v>8300</v>
      </c>
      <c r="L72" s="244">
        <v>500</v>
      </c>
      <c r="M72" s="244">
        <v>8500</v>
      </c>
      <c r="N72" s="245">
        <v>9200</v>
      </c>
      <c r="O72" s="227">
        <v>6000</v>
      </c>
      <c r="P72" s="228">
        <f>10300+700</f>
        <v>11000</v>
      </c>
      <c r="Q72" s="230">
        <v>11800</v>
      </c>
      <c r="R72" s="229">
        <f t="shared" si="17"/>
        <v>73700</v>
      </c>
      <c r="S72" s="226">
        <f t="shared" si="18"/>
        <v>16000</v>
      </c>
      <c r="T72" s="400">
        <f t="shared" si="19"/>
        <v>89700</v>
      </c>
      <c r="U72" s="246">
        <f t="shared" si="13"/>
        <v>0</v>
      </c>
      <c r="V72" s="232">
        <f t="shared" si="14"/>
        <v>700</v>
      </c>
      <c r="W72" s="233">
        <f t="shared" si="20"/>
        <v>700</v>
      </c>
      <c r="X72" s="234">
        <f t="shared" si="15"/>
        <v>-11800</v>
      </c>
      <c r="Y72" s="233">
        <f t="shared" si="21"/>
        <v>-11800</v>
      </c>
      <c r="Z72" s="247">
        <v>69</v>
      </c>
      <c r="AA72" s="236">
        <f t="shared" si="16"/>
        <v>12500</v>
      </c>
      <c r="AB72" s="172"/>
      <c r="AC72" s="172">
        <v>77200</v>
      </c>
      <c r="AD72" s="172">
        <v>0</v>
      </c>
      <c r="AE72" s="172">
        <v>0</v>
      </c>
      <c r="AF72" s="224"/>
      <c r="AG72" s="224"/>
      <c r="AH72" s="224"/>
      <c r="AI72" s="224"/>
      <c r="AJ72" s="179"/>
      <c r="AK72" s="179"/>
      <c r="AL72" s="179"/>
      <c r="AM72" s="179"/>
      <c r="AN72" s="179"/>
      <c r="AO72" s="179"/>
      <c r="AP72" s="179"/>
      <c r="AQ72" s="179"/>
      <c r="AR72" s="181"/>
      <c r="AS72" s="181"/>
      <c r="AT72" s="181"/>
      <c r="AU72" s="181"/>
    </row>
    <row r="73" spans="1:47" s="182" customFormat="1" ht="11.4" thickTop="1" thickBot="1" x14ac:dyDescent="0.25">
      <c r="A73" s="237">
        <v>70</v>
      </c>
      <c r="B73" s="248" t="s">
        <v>41</v>
      </c>
      <c r="C73" s="224">
        <v>0</v>
      </c>
      <c r="D73" s="225">
        <v>0</v>
      </c>
      <c r="E73" s="241">
        <v>8300</v>
      </c>
      <c r="F73" s="227">
        <v>2000</v>
      </c>
      <c r="G73" s="227">
        <v>8300</v>
      </c>
      <c r="H73" s="227">
        <v>8300</v>
      </c>
      <c r="I73" s="227">
        <v>3500</v>
      </c>
      <c r="J73" s="242">
        <v>4000</v>
      </c>
      <c r="K73" s="252">
        <v>8300</v>
      </c>
      <c r="L73" s="244">
        <v>500</v>
      </c>
      <c r="M73" s="244">
        <v>8500</v>
      </c>
      <c r="N73" s="245">
        <v>9200</v>
      </c>
      <c r="O73" s="227">
        <v>6000</v>
      </c>
      <c r="P73" s="228">
        <f>10300+700</f>
        <v>11000</v>
      </c>
      <c r="Q73" s="230">
        <v>11800</v>
      </c>
      <c r="R73" s="229">
        <f t="shared" si="17"/>
        <v>73700</v>
      </c>
      <c r="S73" s="226">
        <f t="shared" si="18"/>
        <v>16000</v>
      </c>
      <c r="T73" s="400">
        <f t="shared" si="19"/>
        <v>89700</v>
      </c>
      <c r="U73" s="246">
        <f t="shared" si="13"/>
        <v>0</v>
      </c>
      <c r="V73" s="232">
        <f t="shared" si="14"/>
        <v>700</v>
      </c>
      <c r="W73" s="233">
        <f t="shared" si="20"/>
        <v>700</v>
      </c>
      <c r="X73" s="234">
        <f t="shared" si="15"/>
        <v>-11800</v>
      </c>
      <c r="Y73" s="233">
        <f t="shared" si="21"/>
        <v>-11800</v>
      </c>
      <c r="Z73" s="247">
        <v>70</v>
      </c>
      <c r="AA73" s="236">
        <f t="shared" si="16"/>
        <v>12500</v>
      </c>
      <c r="AB73" s="172"/>
      <c r="AC73" s="172">
        <v>77200</v>
      </c>
      <c r="AD73" s="172">
        <v>0</v>
      </c>
      <c r="AE73" s="172">
        <v>0</v>
      </c>
      <c r="AF73" s="224"/>
      <c r="AG73" s="224"/>
      <c r="AH73" s="224"/>
      <c r="AI73" s="224"/>
      <c r="AJ73" s="179"/>
      <c r="AK73" s="179"/>
      <c r="AL73" s="179"/>
      <c r="AM73" s="179"/>
      <c r="AN73" s="179"/>
      <c r="AO73" s="179"/>
      <c r="AP73" s="179"/>
      <c r="AQ73" s="179"/>
      <c r="AR73" s="181"/>
      <c r="AS73" s="181"/>
      <c r="AT73" s="181"/>
      <c r="AU73" s="181"/>
    </row>
    <row r="74" spans="1:47" s="182" customFormat="1" ht="11.4" thickTop="1" thickBot="1" x14ac:dyDescent="0.25">
      <c r="A74" s="237">
        <v>71</v>
      </c>
      <c r="B74" s="248" t="s">
        <v>42</v>
      </c>
      <c r="C74" s="224">
        <v>0</v>
      </c>
      <c r="D74" s="225">
        <v>0</v>
      </c>
      <c r="E74" s="241">
        <v>8300</v>
      </c>
      <c r="F74" s="227">
        <v>2000</v>
      </c>
      <c r="G74" s="227">
        <v>8300</v>
      </c>
      <c r="H74" s="227">
        <v>8300</v>
      </c>
      <c r="I74" s="227">
        <v>3500</v>
      </c>
      <c r="J74" s="242">
        <v>4000</v>
      </c>
      <c r="K74" s="252">
        <v>8300</v>
      </c>
      <c r="L74" s="244">
        <v>500</v>
      </c>
      <c r="M74" s="244">
        <v>8500</v>
      </c>
      <c r="N74" s="245">
        <v>9200</v>
      </c>
      <c r="O74" s="227">
        <v>6000</v>
      </c>
      <c r="P74" s="228">
        <f>8700+2300</f>
        <v>11000</v>
      </c>
      <c r="Q74" s="230">
        <f>450+2300+3450+3125+3175+325</f>
        <v>12825</v>
      </c>
      <c r="R74" s="229">
        <f t="shared" si="17"/>
        <v>74725</v>
      </c>
      <c r="S74" s="226">
        <f t="shared" si="18"/>
        <v>16000</v>
      </c>
      <c r="T74" s="400">
        <f t="shared" si="19"/>
        <v>90725</v>
      </c>
      <c r="U74" s="246">
        <f t="shared" si="13"/>
        <v>0</v>
      </c>
      <c r="V74" s="232">
        <f t="shared" si="14"/>
        <v>0</v>
      </c>
      <c r="W74" s="233">
        <f t="shared" si="20"/>
        <v>0</v>
      </c>
      <c r="X74" s="234">
        <f t="shared" si="15"/>
        <v>-12825</v>
      </c>
      <c r="Y74" s="233">
        <f t="shared" si="21"/>
        <v>-12825</v>
      </c>
      <c r="Z74" s="247">
        <v>71</v>
      </c>
      <c r="AA74" s="236">
        <f t="shared" si="16"/>
        <v>11000</v>
      </c>
      <c r="AB74" s="172"/>
      <c r="AC74" s="172">
        <v>79725</v>
      </c>
      <c r="AD74" s="172">
        <v>0</v>
      </c>
      <c r="AE74" s="172">
        <v>0</v>
      </c>
      <c r="AF74" s="224"/>
      <c r="AG74" s="224"/>
      <c r="AH74" s="224"/>
      <c r="AI74" s="224"/>
      <c r="AJ74" s="179"/>
      <c r="AK74" s="179"/>
      <c r="AL74" s="179"/>
      <c r="AM74" s="179"/>
      <c r="AN74" s="179"/>
      <c r="AO74" s="179"/>
      <c r="AP74" s="179"/>
      <c r="AQ74" s="179"/>
      <c r="AR74" s="181"/>
      <c r="AS74" s="181"/>
      <c r="AT74" s="181"/>
      <c r="AU74" s="181"/>
    </row>
    <row r="75" spans="1:47" s="182" customFormat="1" ht="11.4" thickTop="1" thickBot="1" x14ac:dyDescent="0.25">
      <c r="A75" s="237">
        <v>72</v>
      </c>
      <c r="B75" s="248" t="s">
        <v>43</v>
      </c>
      <c r="C75" s="224">
        <v>0</v>
      </c>
      <c r="D75" s="225">
        <v>0</v>
      </c>
      <c r="E75" s="241">
        <v>8300</v>
      </c>
      <c r="F75" s="227">
        <v>2000</v>
      </c>
      <c r="G75" s="227">
        <v>8300</v>
      </c>
      <c r="H75" s="227">
        <v>8300</v>
      </c>
      <c r="I75" s="227">
        <v>3500</v>
      </c>
      <c r="J75" s="242">
        <v>4000</v>
      </c>
      <c r="K75" s="252">
        <v>8300</v>
      </c>
      <c r="L75" s="244">
        <v>500</v>
      </c>
      <c r="M75" s="244">
        <v>8500</v>
      </c>
      <c r="N75" s="253">
        <v>9200</v>
      </c>
      <c r="O75" s="249">
        <v>6000</v>
      </c>
      <c r="P75" s="271"/>
      <c r="Q75" s="400"/>
      <c r="R75" s="229">
        <f t="shared" si="17"/>
        <v>50900</v>
      </c>
      <c r="S75" s="226">
        <f t="shared" si="18"/>
        <v>16000</v>
      </c>
      <c r="T75" s="400">
        <f t="shared" si="19"/>
        <v>66900</v>
      </c>
      <c r="U75" s="246">
        <f t="shared" si="13"/>
        <v>0</v>
      </c>
      <c r="V75" s="232">
        <f t="shared" si="14"/>
        <v>23500</v>
      </c>
      <c r="W75" s="233">
        <f t="shared" si="20"/>
        <v>23500</v>
      </c>
      <c r="X75" s="234">
        <f t="shared" si="15"/>
        <v>11000</v>
      </c>
      <c r="Y75" s="233">
        <f t="shared" si="21"/>
        <v>11000</v>
      </c>
      <c r="Z75" s="247">
        <v>72</v>
      </c>
      <c r="AA75" s="236">
        <f t="shared" si="16"/>
        <v>0</v>
      </c>
      <c r="AB75" s="172"/>
      <c r="AC75" s="172">
        <v>66900</v>
      </c>
      <c r="AD75" s="172">
        <v>0</v>
      </c>
      <c r="AE75" s="172">
        <v>0</v>
      </c>
      <c r="AF75" s="224"/>
      <c r="AG75" s="226">
        <v>0.34</v>
      </c>
      <c r="AH75" s="224"/>
      <c r="AI75" s="224"/>
      <c r="AJ75" s="179"/>
      <c r="AK75" s="179"/>
      <c r="AL75" s="179"/>
      <c r="AM75" s="179"/>
      <c r="AN75" s="179"/>
      <c r="AO75" s="179"/>
      <c r="AP75" s="179"/>
      <c r="AQ75" s="179"/>
      <c r="AR75" s="181"/>
      <c r="AS75" s="181"/>
      <c r="AT75" s="181"/>
      <c r="AU75" s="181"/>
    </row>
    <row r="76" spans="1:47" s="182" customFormat="1" ht="11.4" thickTop="1" thickBot="1" x14ac:dyDescent="0.25">
      <c r="A76" s="237">
        <v>73</v>
      </c>
      <c r="B76" s="248" t="s">
        <v>44</v>
      </c>
      <c r="C76" s="224">
        <v>0</v>
      </c>
      <c r="D76" s="225">
        <v>0</v>
      </c>
      <c r="E76" s="241">
        <v>8300</v>
      </c>
      <c r="F76" s="227">
        <v>2000</v>
      </c>
      <c r="G76" s="227">
        <v>8300</v>
      </c>
      <c r="H76" s="227">
        <v>8300</v>
      </c>
      <c r="I76" s="227">
        <v>3500</v>
      </c>
      <c r="J76" s="242">
        <v>4000</v>
      </c>
      <c r="K76" s="252">
        <v>8300</v>
      </c>
      <c r="L76" s="244">
        <v>500</v>
      </c>
      <c r="M76" s="244">
        <v>8500</v>
      </c>
      <c r="N76" s="245">
        <v>9200</v>
      </c>
      <c r="O76" s="227">
        <v>6000</v>
      </c>
      <c r="P76" s="228">
        <f>8100+2900</f>
        <v>11000</v>
      </c>
      <c r="Q76" s="230">
        <f>3000+3500+5000</f>
        <v>11500</v>
      </c>
      <c r="R76" s="229">
        <f t="shared" si="17"/>
        <v>73400</v>
      </c>
      <c r="S76" s="226">
        <f t="shared" si="18"/>
        <v>16000</v>
      </c>
      <c r="T76" s="400">
        <f t="shared" si="19"/>
        <v>89400</v>
      </c>
      <c r="U76" s="246">
        <f t="shared" si="13"/>
        <v>0</v>
      </c>
      <c r="V76" s="232">
        <f t="shared" si="14"/>
        <v>1000</v>
      </c>
      <c r="W76" s="233">
        <f t="shared" si="20"/>
        <v>1000</v>
      </c>
      <c r="X76" s="234">
        <f t="shared" si="15"/>
        <v>-11500</v>
      </c>
      <c r="Y76" s="233">
        <f t="shared" si="21"/>
        <v>-11500</v>
      </c>
      <c r="Z76" s="247">
        <v>73</v>
      </c>
      <c r="AA76" s="236">
        <f t="shared" si="16"/>
        <v>0</v>
      </c>
      <c r="AB76" s="172"/>
      <c r="AC76" s="172">
        <v>89400</v>
      </c>
      <c r="AD76" s="172">
        <v>0</v>
      </c>
      <c r="AE76" s="172">
        <v>0</v>
      </c>
      <c r="AF76" s="224"/>
      <c r="AG76" s="224"/>
      <c r="AH76" s="224"/>
      <c r="AI76" s="224"/>
      <c r="AJ76" s="179"/>
      <c r="AK76" s="179"/>
      <c r="AL76" s="179"/>
      <c r="AM76" s="179"/>
      <c r="AN76" s="179"/>
      <c r="AO76" s="179"/>
      <c r="AP76" s="179"/>
      <c r="AQ76" s="179"/>
      <c r="AR76" s="181"/>
      <c r="AS76" s="181"/>
      <c r="AT76" s="181"/>
      <c r="AU76" s="181"/>
    </row>
    <row r="77" spans="1:47" s="182" customFormat="1" ht="11.4" thickTop="1" thickBot="1" x14ac:dyDescent="0.25">
      <c r="A77" s="237">
        <v>74</v>
      </c>
      <c r="B77" s="248" t="s">
        <v>145</v>
      </c>
      <c r="C77" s="224">
        <v>0</v>
      </c>
      <c r="D77" s="225">
        <v>0</v>
      </c>
      <c r="E77" s="241">
        <v>8300</v>
      </c>
      <c r="F77" s="227">
        <v>2000</v>
      </c>
      <c r="G77" s="227">
        <v>8300</v>
      </c>
      <c r="H77" s="227">
        <v>8300</v>
      </c>
      <c r="I77" s="227">
        <v>3500</v>
      </c>
      <c r="J77" s="242">
        <v>4000</v>
      </c>
      <c r="K77" s="252">
        <v>8300</v>
      </c>
      <c r="L77" s="244">
        <v>500</v>
      </c>
      <c r="M77" s="244">
        <v>8500</v>
      </c>
      <c r="N77" s="245">
        <v>9200</v>
      </c>
      <c r="O77" s="227">
        <v>6000</v>
      </c>
      <c r="P77" s="228">
        <f>2750+8250</f>
        <v>11000</v>
      </c>
      <c r="Q77" s="230">
        <f>6250+6250</f>
        <v>12500</v>
      </c>
      <c r="R77" s="229">
        <f t="shared" si="17"/>
        <v>74400</v>
      </c>
      <c r="S77" s="226">
        <f t="shared" si="18"/>
        <v>16000</v>
      </c>
      <c r="T77" s="400">
        <f t="shared" si="19"/>
        <v>90400</v>
      </c>
      <c r="U77" s="246">
        <f t="shared" si="13"/>
        <v>0</v>
      </c>
      <c r="V77" s="232">
        <f t="shared" si="14"/>
        <v>0</v>
      </c>
      <c r="W77" s="233">
        <f t="shared" si="20"/>
        <v>0</v>
      </c>
      <c r="X77" s="234">
        <f t="shared" si="15"/>
        <v>-12500</v>
      </c>
      <c r="Y77" s="233">
        <f t="shared" si="21"/>
        <v>-12500</v>
      </c>
      <c r="Z77" s="247">
        <v>74</v>
      </c>
      <c r="AA77" s="236">
        <f t="shared" si="16"/>
        <v>6250</v>
      </c>
      <c r="AB77" s="172"/>
      <c r="AC77" s="172">
        <v>84150</v>
      </c>
      <c r="AD77" s="172">
        <v>0</v>
      </c>
      <c r="AE77" s="172">
        <v>0</v>
      </c>
      <c r="AF77" s="224"/>
      <c r="AG77" s="224"/>
      <c r="AH77" s="224"/>
      <c r="AI77" s="224"/>
      <c r="AJ77" s="179"/>
      <c r="AK77" s="179"/>
      <c r="AL77" s="179"/>
      <c r="AM77" s="179"/>
      <c r="AN77" s="179"/>
      <c r="AO77" s="179"/>
      <c r="AP77" s="179"/>
      <c r="AQ77" s="179"/>
      <c r="AR77" s="181"/>
      <c r="AS77" s="181"/>
      <c r="AT77" s="181"/>
      <c r="AU77" s="181"/>
    </row>
    <row r="78" spans="1:47" s="182" customFormat="1" ht="11.4" thickTop="1" thickBot="1" x14ac:dyDescent="0.25">
      <c r="A78" s="237">
        <v>75</v>
      </c>
      <c r="B78" s="248" t="s">
        <v>126</v>
      </c>
      <c r="C78" s="224">
        <v>0</v>
      </c>
      <c r="D78" s="225">
        <v>0</v>
      </c>
      <c r="E78" s="241">
        <v>8300</v>
      </c>
      <c r="F78" s="227">
        <v>2000</v>
      </c>
      <c r="G78" s="227">
        <v>8300</v>
      </c>
      <c r="H78" s="227">
        <v>8300</v>
      </c>
      <c r="I78" s="227">
        <v>3500</v>
      </c>
      <c r="J78" s="242">
        <v>4000</v>
      </c>
      <c r="K78" s="252">
        <v>8300</v>
      </c>
      <c r="L78" s="244">
        <v>500</v>
      </c>
      <c r="M78" s="244">
        <f>4200+4300</f>
        <v>8500</v>
      </c>
      <c r="N78" s="245">
        <v>9200</v>
      </c>
      <c r="O78" s="227">
        <v>6000</v>
      </c>
      <c r="P78" s="228">
        <f>3000+8000</f>
        <v>11000</v>
      </c>
      <c r="Q78" s="230">
        <v>12500</v>
      </c>
      <c r="R78" s="229">
        <f t="shared" si="17"/>
        <v>74400</v>
      </c>
      <c r="S78" s="226">
        <f t="shared" si="18"/>
        <v>16000</v>
      </c>
      <c r="T78" s="400">
        <f t="shared" si="19"/>
        <v>90400</v>
      </c>
      <c r="U78" s="246">
        <f t="shared" si="13"/>
        <v>0</v>
      </c>
      <c r="V78" s="232">
        <f t="shared" si="14"/>
        <v>0</v>
      </c>
      <c r="W78" s="250">
        <f t="shared" si="20"/>
        <v>0</v>
      </c>
      <c r="X78" s="234">
        <f t="shared" si="15"/>
        <v>-12500</v>
      </c>
      <c r="Y78" s="233">
        <f t="shared" si="21"/>
        <v>-12500</v>
      </c>
      <c r="Z78" s="247">
        <v>75</v>
      </c>
      <c r="AA78" s="236">
        <f t="shared" si="16"/>
        <v>12500</v>
      </c>
      <c r="AB78" s="172"/>
      <c r="AC78" s="172">
        <v>77900</v>
      </c>
      <c r="AD78" s="172">
        <v>0</v>
      </c>
      <c r="AE78" s="172">
        <v>0</v>
      </c>
      <c r="AF78" s="224"/>
      <c r="AG78" s="224"/>
      <c r="AH78" s="224"/>
      <c r="AI78" s="224"/>
      <c r="AJ78" s="179"/>
      <c r="AK78" s="179"/>
      <c r="AL78" s="179"/>
      <c r="AM78" s="179"/>
      <c r="AN78" s="179"/>
      <c r="AO78" s="179"/>
      <c r="AP78" s="179"/>
      <c r="AQ78" s="179"/>
      <c r="AR78" s="181"/>
      <c r="AS78" s="181"/>
      <c r="AT78" s="181"/>
      <c r="AU78" s="181"/>
    </row>
    <row r="79" spans="1:47" s="268" customFormat="1" ht="11.4" thickTop="1" thickBot="1" x14ac:dyDescent="0.25">
      <c r="A79" s="254">
        <v>76</v>
      </c>
      <c r="B79" s="255" t="s">
        <v>110</v>
      </c>
      <c r="C79" s="256">
        <v>0</v>
      </c>
      <c r="D79" s="257">
        <v>0</v>
      </c>
      <c r="E79" s="258">
        <v>8300</v>
      </c>
      <c r="F79" s="259">
        <v>2000</v>
      </c>
      <c r="G79" s="259">
        <v>8300</v>
      </c>
      <c r="H79" s="259">
        <v>8300</v>
      </c>
      <c r="I79" s="259">
        <v>3500</v>
      </c>
      <c r="J79" s="260">
        <v>4000</v>
      </c>
      <c r="K79" s="272">
        <v>8300</v>
      </c>
      <c r="L79" s="260">
        <v>500</v>
      </c>
      <c r="M79" s="260">
        <v>8500</v>
      </c>
      <c r="N79" s="262">
        <v>9200</v>
      </c>
      <c r="O79" s="259">
        <v>6000</v>
      </c>
      <c r="P79" s="273">
        <f>10560+440</f>
        <v>11000</v>
      </c>
      <c r="Q79" s="257">
        <f>11060+1000</f>
        <v>12060</v>
      </c>
      <c r="R79" s="418">
        <f t="shared" si="17"/>
        <v>73960</v>
      </c>
      <c r="S79" s="369">
        <f t="shared" si="18"/>
        <v>16000</v>
      </c>
      <c r="T79" s="457">
        <f t="shared" si="19"/>
        <v>89960</v>
      </c>
      <c r="U79" s="263">
        <f t="shared" si="13"/>
        <v>0</v>
      </c>
      <c r="V79" s="264">
        <f t="shared" si="14"/>
        <v>440</v>
      </c>
      <c r="W79" s="265">
        <f t="shared" si="20"/>
        <v>440</v>
      </c>
      <c r="X79" s="370">
        <f t="shared" si="15"/>
        <v>-12060</v>
      </c>
      <c r="Y79" s="265">
        <f t="shared" si="21"/>
        <v>-12060</v>
      </c>
      <c r="Z79" s="266">
        <v>76</v>
      </c>
      <c r="AA79" s="259">
        <f t="shared" si="16"/>
        <v>0</v>
      </c>
      <c r="AB79" s="267"/>
      <c r="AC79" s="267">
        <v>89960</v>
      </c>
      <c r="AD79" s="267">
        <v>0</v>
      </c>
      <c r="AE79" s="267">
        <v>0</v>
      </c>
      <c r="AF79" s="256"/>
      <c r="AG79" s="256"/>
      <c r="AH79" s="256"/>
      <c r="AI79" s="256"/>
      <c r="AJ79" s="371"/>
      <c r="AK79" s="371"/>
      <c r="AL79" s="371"/>
      <c r="AM79" s="371"/>
      <c r="AN79" s="371"/>
      <c r="AO79" s="371"/>
      <c r="AP79" s="371"/>
      <c r="AQ79" s="371"/>
    </row>
    <row r="80" spans="1:47" s="182" customFormat="1" ht="11.4" thickTop="1" thickBot="1" x14ac:dyDescent="0.25">
      <c r="A80" s="237">
        <v>77</v>
      </c>
      <c r="B80" s="248" t="s">
        <v>45</v>
      </c>
      <c r="C80" s="224">
        <v>0</v>
      </c>
      <c r="D80" s="225">
        <v>0</v>
      </c>
      <c r="E80" s="241">
        <v>8300</v>
      </c>
      <c r="F80" s="227">
        <v>2000</v>
      </c>
      <c r="G80" s="227">
        <v>8300</v>
      </c>
      <c r="H80" s="227">
        <v>8300</v>
      </c>
      <c r="I80" s="227">
        <v>3500</v>
      </c>
      <c r="J80" s="242">
        <v>4000</v>
      </c>
      <c r="K80" s="252">
        <v>8300</v>
      </c>
      <c r="L80" s="244">
        <v>500</v>
      </c>
      <c r="M80" s="244">
        <v>8500</v>
      </c>
      <c r="N80" s="245">
        <v>9200</v>
      </c>
      <c r="O80" s="227">
        <v>6000</v>
      </c>
      <c r="P80" s="228">
        <f>5500+5500</f>
        <v>11000</v>
      </c>
      <c r="Q80" s="230">
        <f>6500+6000</f>
        <v>12500</v>
      </c>
      <c r="R80" s="229">
        <f t="shared" si="17"/>
        <v>74400</v>
      </c>
      <c r="S80" s="226">
        <f t="shared" si="18"/>
        <v>16000</v>
      </c>
      <c r="T80" s="400">
        <f t="shared" si="19"/>
        <v>90400</v>
      </c>
      <c r="U80" s="246">
        <f t="shared" si="13"/>
        <v>0</v>
      </c>
      <c r="V80" s="232">
        <f t="shared" si="14"/>
        <v>0</v>
      </c>
      <c r="W80" s="233">
        <f t="shared" si="20"/>
        <v>0</v>
      </c>
      <c r="X80" s="234">
        <f t="shared" si="15"/>
        <v>-12500</v>
      </c>
      <c r="Y80" s="233">
        <f t="shared" si="21"/>
        <v>-12500</v>
      </c>
      <c r="Z80" s="247">
        <v>77</v>
      </c>
      <c r="AA80" s="236">
        <f t="shared" si="16"/>
        <v>6000</v>
      </c>
      <c r="AB80" s="172"/>
      <c r="AC80" s="172">
        <v>84400</v>
      </c>
      <c r="AD80" s="172">
        <v>0</v>
      </c>
      <c r="AE80" s="172">
        <v>0</v>
      </c>
      <c r="AF80" s="224"/>
      <c r="AG80" s="224"/>
      <c r="AH80" s="224"/>
      <c r="AI80" s="224"/>
      <c r="AJ80" s="179"/>
      <c r="AK80" s="179"/>
      <c r="AL80" s="179"/>
      <c r="AM80" s="179"/>
      <c r="AN80" s="179"/>
      <c r="AO80" s="179"/>
      <c r="AP80" s="179"/>
      <c r="AQ80" s="179"/>
      <c r="AR80" s="181"/>
      <c r="AS80" s="181"/>
      <c r="AT80" s="181"/>
      <c r="AU80" s="181"/>
    </row>
    <row r="81" spans="1:47" s="182" customFormat="1" ht="11.4" thickTop="1" thickBot="1" x14ac:dyDescent="0.25">
      <c r="A81" s="237">
        <v>78</v>
      </c>
      <c r="B81" s="248" t="s">
        <v>164</v>
      </c>
      <c r="C81" s="224">
        <v>0</v>
      </c>
      <c r="D81" s="225">
        <v>0</v>
      </c>
      <c r="E81" s="241">
        <v>8300</v>
      </c>
      <c r="F81" s="227">
        <v>2000</v>
      </c>
      <c r="G81" s="227">
        <v>8300</v>
      </c>
      <c r="H81" s="227">
        <v>8300</v>
      </c>
      <c r="I81" s="227">
        <v>3500</v>
      </c>
      <c r="J81" s="242">
        <v>4000</v>
      </c>
      <c r="K81" s="252">
        <v>8300</v>
      </c>
      <c r="L81" s="244"/>
      <c r="M81" s="244">
        <v>8500</v>
      </c>
      <c r="N81" s="245">
        <f>2200+1500+5500</f>
        <v>9200</v>
      </c>
      <c r="O81" s="227">
        <f>3000+1500+500+1000</f>
        <v>6000</v>
      </c>
      <c r="P81" s="228">
        <f>5000+5500+500</f>
        <v>11000</v>
      </c>
      <c r="Q81" s="230">
        <f>1000+1000+1500+2000+7000</f>
        <v>12500</v>
      </c>
      <c r="R81" s="229">
        <f t="shared" si="17"/>
        <v>74400</v>
      </c>
      <c r="S81" s="226">
        <f t="shared" si="18"/>
        <v>15500</v>
      </c>
      <c r="T81" s="400">
        <f t="shared" si="19"/>
        <v>89900</v>
      </c>
      <c r="U81" s="246">
        <f t="shared" si="13"/>
        <v>500</v>
      </c>
      <c r="V81" s="232">
        <f t="shared" si="14"/>
        <v>0</v>
      </c>
      <c r="W81" s="233">
        <f t="shared" si="20"/>
        <v>500</v>
      </c>
      <c r="X81" s="234">
        <f t="shared" si="15"/>
        <v>-12500</v>
      </c>
      <c r="Y81" s="233">
        <f t="shared" si="21"/>
        <v>-12000</v>
      </c>
      <c r="Z81" s="247">
        <v>78</v>
      </c>
      <c r="AA81" s="236">
        <f t="shared" si="16"/>
        <v>15500</v>
      </c>
      <c r="AB81" s="172"/>
      <c r="AC81" s="172">
        <v>74400</v>
      </c>
      <c r="AD81" s="172">
        <v>0</v>
      </c>
      <c r="AE81" s="172">
        <v>0</v>
      </c>
      <c r="AF81" s="224"/>
      <c r="AG81" s="224"/>
      <c r="AH81" s="224"/>
      <c r="AI81" s="224"/>
      <c r="AJ81" s="179"/>
      <c r="AK81" s="179"/>
      <c r="AL81" s="179"/>
      <c r="AM81" s="179"/>
      <c r="AN81" s="179"/>
      <c r="AO81" s="179"/>
      <c r="AP81" s="179"/>
      <c r="AQ81" s="179"/>
      <c r="AR81" s="181"/>
      <c r="AS81" s="181"/>
      <c r="AT81" s="181"/>
      <c r="AU81" s="181"/>
    </row>
    <row r="82" spans="1:47" s="182" customFormat="1" ht="11.4" thickTop="1" thickBot="1" x14ac:dyDescent="0.25">
      <c r="A82" s="237">
        <v>79</v>
      </c>
      <c r="B82" s="248" t="s">
        <v>345</v>
      </c>
      <c r="C82" s="224">
        <v>0</v>
      </c>
      <c r="D82" s="225">
        <v>0</v>
      </c>
      <c r="E82" s="241">
        <v>8300</v>
      </c>
      <c r="F82" s="227">
        <v>2000</v>
      </c>
      <c r="G82" s="227">
        <v>8300</v>
      </c>
      <c r="H82" s="227">
        <v>8300</v>
      </c>
      <c r="I82" s="227">
        <v>3500</v>
      </c>
      <c r="J82" s="242"/>
      <c r="K82" s="252">
        <v>8300</v>
      </c>
      <c r="L82" s="244">
        <v>500</v>
      </c>
      <c r="M82" s="244">
        <v>8500</v>
      </c>
      <c r="N82" s="245">
        <v>9200</v>
      </c>
      <c r="O82" s="227">
        <v>799</v>
      </c>
      <c r="P82" s="228">
        <f>4000+4000</f>
        <v>8000</v>
      </c>
      <c r="Q82" s="230">
        <f>4000+6250</f>
        <v>10250</v>
      </c>
      <c r="R82" s="229">
        <f t="shared" si="17"/>
        <v>69150</v>
      </c>
      <c r="S82" s="226">
        <f t="shared" si="18"/>
        <v>6799</v>
      </c>
      <c r="T82" s="400">
        <f t="shared" si="19"/>
        <v>75949</v>
      </c>
      <c r="U82" s="246">
        <f t="shared" si="13"/>
        <v>9201</v>
      </c>
      <c r="V82" s="232">
        <f t="shared" si="14"/>
        <v>5250</v>
      </c>
      <c r="W82" s="233">
        <f t="shared" si="20"/>
        <v>14451</v>
      </c>
      <c r="X82" s="234">
        <f t="shared" si="15"/>
        <v>-7250</v>
      </c>
      <c r="Y82" s="233">
        <f t="shared" si="21"/>
        <v>1951</v>
      </c>
      <c r="Z82" s="247">
        <v>79</v>
      </c>
      <c r="AA82" s="236">
        <f t="shared" si="16"/>
        <v>0</v>
      </c>
      <c r="AB82" s="172"/>
      <c r="AC82" s="172">
        <v>75949</v>
      </c>
      <c r="AD82" s="172">
        <v>0</v>
      </c>
      <c r="AE82" s="172">
        <v>0</v>
      </c>
      <c r="AF82" s="224"/>
      <c r="AG82" s="224"/>
      <c r="AH82" s="224"/>
      <c r="AI82" s="224"/>
      <c r="AJ82" s="179"/>
      <c r="AK82" s="179"/>
      <c r="AL82" s="179"/>
      <c r="AM82" s="179"/>
      <c r="AN82" s="179"/>
      <c r="AO82" s="179"/>
      <c r="AP82" s="179"/>
      <c r="AQ82" s="179"/>
      <c r="AR82" s="181"/>
      <c r="AS82" s="181"/>
      <c r="AT82" s="181"/>
      <c r="AU82" s="181"/>
    </row>
    <row r="83" spans="1:47" s="182" customFormat="1" ht="11.4" thickTop="1" thickBot="1" x14ac:dyDescent="0.25">
      <c r="A83" s="237">
        <v>80</v>
      </c>
      <c r="B83" s="248" t="s">
        <v>165</v>
      </c>
      <c r="C83" s="224">
        <v>0</v>
      </c>
      <c r="D83" s="251">
        <v>0</v>
      </c>
      <c r="E83" s="241">
        <v>8300</v>
      </c>
      <c r="F83" s="227">
        <v>2000</v>
      </c>
      <c r="G83" s="227">
        <v>8300</v>
      </c>
      <c r="H83" s="227">
        <v>8300</v>
      </c>
      <c r="I83" s="182">
        <v>3500</v>
      </c>
      <c r="J83" s="242">
        <f>3667+333</f>
        <v>4000</v>
      </c>
      <c r="K83" s="252">
        <v>8300</v>
      </c>
      <c r="L83" s="244">
        <v>500</v>
      </c>
      <c r="M83" s="227">
        <v>8500</v>
      </c>
      <c r="N83" s="245">
        <v>9200</v>
      </c>
      <c r="O83" s="227">
        <v>6000</v>
      </c>
      <c r="P83" s="228">
        <f>8667+2000+333</f>
        <v>11000</v>
      </c>
      <c r="Q83" s="230">
        <f>5834+2000</f>
        <v>7834</v>
      </c>
      <c r="R83" s="229">
        <f t="shared" si="17"/>
        <v>69734</v>
      </c>
      <c r="S83" s="226">
        <f t="shared" si="18"/>
        <v>16000</v>
      </c>
      <c r="T83" s="400">
        <f t="shared" si="19"/>
        <v>85734</v>
      </c>
      <c r="U83" s="246">
        <f t="shared" si="13"/>
        <v>0</v>
      </c>
      <c r="V83" s="232">
        <f t="shared" si="14"/>
        <v>4666</v>
      </c>
      <c r="W83" s="233">
        <f>IF((U83+V83)&lt;=0,0,U83+V83)</f>
        <v>4666</v>
      </c>
      <c r="X83" s="234">
        <f t="shared" si="15"/>
        <v>-7834</v>
      </c>
      <c r="Y83" s="233">
        <f t="shared" si="21"/>
        <v>-7834</v>
      </c>
      <c r="Z83" s="247">
        <v>80</v>
      </c>
      <c r="AA83" s="236">
        <f t="shared" si="16"/>
        <v>0</v>
      </c>
      <c r="AB83" s="172"/>
      <c r="AC83" s="172">
        <v>85734</v>
      </c>
      <c r="AD83" s="172">
        <v>0</v>
      </c>
      <c r="AE83" s="172">
        <v>0</v>
      </c>
      <c r="AF83" s="224"/>
      <c r="AG83" s="224"/>
      <c r="AH83" s="224"/>
      <c r="AI83" s="224"/>
      <c r="AJ83" s="179"/>
      <c r="AK83" s="179"/>
      <c r="AL83" s="179"/>
      <c r="AM83" s="179"/>
      <c r="AN83" s="179"/>
      <c r="AO83" s="179"/>
      <c r="AP83" s="179"/>
      <c r="AQ83" s="179"/>
      <c r="AR83" s="181"/>
      <c r="AS83" s="181"/>
      <c r="AT83" s="181"/>
      <c r="AU83" s="181"/>
    </row>
    <row r="84" spans="1:47" s="182" customFormat="1" ht="11.4" thickTop="1" thickBot="1" x14ac:dyDescent="0.25">
      <c r="A84" s="237">
        <v>81</v>
      </c>
      <c r="B84" s="248" t="s">
        <v>547</v>
      </c>
      <c r="C84" s="224">
        <v>0</v>
      </c>
      <c r="D84" s="225">
        <v>0</v>
      </c>
      <c r="E84" s="241">
        <v>8300</v>
      </c>
      <c r="F84" s="227">
        <v>2000</v>
      </c>
      <c r="G84" s="227">
        <v>8300</v>
      </c>
      <c r="H84" s="227">
        <v>8300</v>
      </c>
      <c r="I84" s="227">
        <v>3500</v>
      </c>
      <c r="J84" s="242">
        <v>4000</v>
      </c>
      <c r="K84" s="252">
        <v>8300</v>
      </c>
      <c r="L84" s="244">
        <v>500</v>
      </c>
      <c r="M84" s="244">
        <v>8500</v>
      </c>
      <c r="N84" s="245">
        <v>9200</v>
      </c>
      <c r="O84" s="227">
        <v>6000</v>
      </c>
      <c r="P84" s="228">
        <f>8250+2750</f>
        <v>11000</v>
      </c>
      <c r="Q84" s="230">
        <f>2750+2750+7000</f>
        <v>12500</v>
      </c>
      <c r="R84" s="229">
        <f t="shared" si="17"/>
        <v>74400</v>
      </c>
      <c r="S84" s="226">
        <f t="shared" si="18"/>
        <v>16000</v>
      </c>
      <c r="T84" s="400">
        <f t="shared" si="19"/>
        <v>90400</v>
      </c>
      <c r="U84" s="246">
        <f t="shared" si="13"/>
        <v>0</v>
      </c>
      <c r="V84" s="232">
        <f t="shared" si="14"/>
        <v>0</v>
      </c>
      <c r="W84" s="233">
        <f t="shared" si="20"/>
        <v>0</v>
      </c>
      <c r="X84" s="234">
        <f t="shared" si="15"/>
        <v>-12500</v>
      </c>
      <c r="Y84" s="233">
        <f t="shared" si="21"/>
        <v>-12500</v>
      </c>
      <c r="Z84" s="247">
        <v>81</v>
      </c>
      <c r="AA84" s="236">
        <f t="shared" si="16"/>
        <v>0</v>
      </c>
      <c r="AB84" s="172"/>
      <c r="AC84" s="172">
        <v>90400</v>
      </c>
      <c r="AD84" s="172">
        <v>0</v>
      </c>
      <c r="AE84" s="172">
        <v>0</v>
      </c>
      <c r="AF84" s="224"/>
      <c r="AG84" s="224"/>
      <c r="AH84" s="224"/>
      <c r="AI84" s="224"/>
      <c r="AJ84" s="179"/>
      <c r="AK84" s="179"/>
      <c r="AL84" s="179"/>
      <c r="AM84" s="179"/>
      <c r="AN84" s="179"/>
      <c r="AO84" s="179"/>
      <c r="AP84" s="179"/>
      <c r="AQ84" s="179"/>
      <c r="AR84" s="181"/>
      <c r="AS84" s="181"/>
      <c r="AT84" s="181"/>
      <c r="AU84" s="181"/>
    </row>
    <row r="85" spans="1:47" s="268" customFormat="1" ht="11.4" thickTop="1" thickBot="1" x14ac:dyDescent="0.25">
      <c r="A85" s="254">
        <v>82</v>
      </c>
      <c r="B85" s="255" t="s">
        <v>110</v>
      </c>
      <c r="C85" s="256">
        <v>0</v>
      </c>
      <c r="D85" s="257">
        <v>0</v>
      </c>
      <c r="E85" s="258">
        <v>8300</v>
      </c>
      <c r="F85" s="259">
        <v>2000</v>
      </c>
      <c r="G85" s="259">
        <v>8300</v>
      </c>
      <c r="H85" s="259">
        <v>8300</v>
      </c>
      <c r="I85" s="259">
        <v>3500</v>
      </c>
      <c r="J85" s="260">
        <v>4000</v>
      </c>
      <c r="K85" s="272">
        <v>8300</v>
      </c>
      <c r="L85" s="260">
        <v>500</v>
      </c>
      <c r="M85" s="260">
        <v>8500</v>
      </c>
      <c r="N85" s="262">
        <v>9200</v>
      </c>
      <c r="O85" s="259">
        <v>6000</v>
      </c>
      <c r="P85" s="273">
        <f>10560+440</f>
        <v>11000</v>
      </c>
      <c r="Q85" s="257">
        <f>11060+1000</f>
        <v>12060</v>
      </c>
      <c r="R85" s="418">
        <f t="shared" si="17"/>
        <v>73960</v>
      </c>
      <c r="S85" s="369">
        <f t="shared" si="18"/>
        <v>16000</v>
      </c>
      <c r="T85" s="457">
        <f t="shared" si="19"/>
        <v>89960</v>
      </c>
      <c r="U85" s="263">
        <f t="shared" si="13"/>
        <v>0</v>
      </c>
      <c r="V85" s="264">
        <f t="shared" si="14"/>
        <v>440</v>
      </c>
      <c r="W85" s="265">
        <f t="shared" si="20"/>
        <v>440</v>
      </c>
      <c r="X85" s="370">
        <f t="shared" si="15"/>
        <v>-12060</v>
      </c>
      <c r="Y85" s="265">
        <f t="shared" si="21"/>
        <v>-12060</v>
      </c>
      <c r="Z85" s="266">
        <v>82</v>
      </c>
      <c r="AA85" s="259">
        <f t="shared" si="16"/>
        <v>0</v>
      </c>
      <c r="AB85" s="267"/>
      <c r="AC85" s="267">
        <v>89960</v>
      </c>
      <c r="AD85" s="267">
        <v>0</v>
      </c>
      <c r="AE85" s="267">
        <v>0</v>
      </c>
      <c r="AF85" s="256"/>
      <c r="AG85" s="256"/>
      <c r="AH85" s="256"/>
      <c r="AI85" s="256"/>
      <c r="AJ85" s="371"/>
      <c r="AK85" s="371"/>
      <c r="AL85" s="371"/>
      <c r="AM85" s="371"/>
      <c r="AN85" s="371"/>
      <c r="AO85" s="371"/>
      <c r="AP85" s="371"/>
      <c r="AQ85" s="371"/>
    </row>
    <row r="86" spans="1:47" s="182" customFormat="1" ht="11.4" thickTop="1" thickBot="1" x14ac:dyDescent="0.25">
      <c r="A86" s="237">
        <v>83</v>
      </c>
      <c r="B86" s="238" t="s">
        <v>126</v>
      </c>
      <c r="C86" s="224">
        <v>0</v>
      </c>
      <c r="D86" s="225">
        <v>0</v>
      </c>
      <c r="E86" s="241">
        <v>8300</v>
      </c>
      <c r="F86" s="227">
        <v>2000</v>
      </c>
      <c r="G86" s="227">
        <v>8300</v>
      </c>
      <c r="H86" s="227">
        <v>8300</v>
      </c>
      <c r="I86" s="227">
        <v>3500</v>
      </c>
      <c r="J86" s="242">
        <v>4000</v>
      </c>
      <c r="K86" s="252">
        <v>8300</v>
      </c>
      <c r="L86" s="244">
        <v>500</v>
      </c>
      <c r="M86" s="244">
        <v>8500</v>
      </c>
      <c r="N86" s="245">
        <v>9200</v>
      </c>
      <c r="O86" s="227">
        <v>6000</v>
      </c>
      <c r="P86" s="228">
        <f>10300+700</f>
        <v>11000</v>
      </c>
      <c r="Q86" s="230">
        <v>12500</v>
      </c>
      <c r="R86" s="229">
        <f t="shared" si="17"/>
        <v>74400</v>
      </c>
      <c r="S86" s="226">
        <f t="shared" si="18"/>
        <v>16000</v>
      </c>
      <c r="T86" s="400">
        <f t="shared" si="19"/>
        <v>90400</v>
      </c>
      <c r="U86" s="246">
        <f t="shared" si="13"/>
        <v>0</v>
      </c>
      <c r="V86" s="232">
        <f t="shared" si="14"/>
        <v>0</v>
      </c>
      <c r="W86" s="233">
        <f t="shared" si="20"/>
        <v>0</v>
      </c>
      <c r="X86" s="234">
        <f t="shared" si="15"/>
        <v>-12500</v>
      </c>
      <c r="Y86" s="233">
        <f t="shared" si="21"/>
        <v>-12500</v>
      </c>
      <c r="Z86" s="247">
        <v>83</v>
      </c>
      <c r="AA86" s="236">
        <f t="shared" si="16"/>
        <v>13200</v>
      </c>
      <c r="AB86" s="172"/>
      <c r="AC86" s="172">
        <v>77200</v>
      </c>
      <c r="AD86" s="172">
        <v>0</v>
      </c>
      <c r="AE86" s="172">
        <v>0</v>
      </c>
      <c r="AF86" s="224"/>
      <c r="AG86" s="224"/>
      <c r="AH86" s="224"/>
      <c r="AI86" s="224"/>
      <c r="AJ86" s="179"/>
      <c r="AK86" s="179"/>
      <c r="AL86" s="179"/>
      <c r="AM86" s="179"/>
      <c r="AN86" s="179"/>
      <c r="AO86" s="179"/>
      <c r="AP86" s="179"/>
      <c r="AQ86" s="179"/>
      <c r="AR86" s="181"/>
      <c r="AS86" s="181"/>
      <c r="AT86" s="181"/>
      <c r="AU86" s="181"/>
    </row>
    <row r="87" spans="1:47" s="182" customFormat="1" ht="11.4" thickTop="1" thickBot="1" x14ac:dyDescent="0.25">
      <c r="A87" s="237">
        <v>84</v>
      </c>
      <c r="B87" s="248" t="s">
        <v>46</v>
      </c>
      <c r="C87" s="224">
        <v>0</v>
      </c>
      <c r="D87" s="225">
        <v>0</v>
      </c>
      <c r="E87" s="241">
        <v>8300</v>
      </c>
      <c r="F87" s="227">
        <v>2000</v>
      </c>
      <c r="G87" s="227">
        <v>8300</v>
      </c>
      <c r="H87" s="227">
        <v>8300</v>
      </c>
      <c r="I87" s="227">
        <v>3500</v>
      </c>
      <c r="J87" s="242">
        <v>4000</v>
      </c>
      <c r="K87" s="252">
        <v>8300</v>
      </c>
      <c r="L87" s="244">
        <v>500</v>
      </c>
      <c r="M87" s="244">
        <v>8500</v>
      </c>
      <c r="N87" s="245">
        <v>9200</v>
      </c>
      <c r="O87" s="227">
        <v>6000</v>
      </c>
      <c r="P87" s="228">
        <v>11000</v>
      </c>
      <c r="Q87" s="230">
        <v>12500</v>
      </c>
      <c r="R87" s="229">
        <f t="shared" si="17"/>
        <v>74400</v>
      </c>
      <c r="S87" s="226">
        <f t="shared" si="18"/>
        <v>16000</v>
      </c>
      <c r="T87" s="400">
        <f t="shared" si="19"/>
        <v>90400</v>
      </c>
      <c r="U87" s="246">
        <f t="shared" si="13"/>
        <v>0</v>
      </c>
      <c r="V87" s="232">
        <f t="shared" si="14"/>
        <v>0</v>
      </c>
      <c r="W87" s="233">
        <f t="shared" si="20"/>
        <v>0</v>
      </c>
      <c r="X87" s="234">
        <f t="shared" si="15"/>
        <v>-12500</v>
      </c>
      <c r="Y87" s="233">
        <f t="shared" si="21"/>
        <v>-12500</v>
      </c>
      <c r="Z87" s="247">
        <v>84</v>
      </c>
      <c r="AA87" s="236">
        <f t="shared" si="16"/>
        <v>0</v>
      </c>
      <c r="AB87" s="172"/>
      <c r="AC87" s="172">
        <v>90400</v>
      </c>
      <c r="AD87" s="172">
        <v>0</v>
      </c>
      <c r="AE87" s="172">
        <v>0</v>
      </c>
      <c r="AF87" s="224"/>
      <c r="AG87" s="224"/>
      <c r="AH87" s="224"/>
      <c r="AI87" s="224"/>
      <c r="AJ87" s="179"/>
      <c r="AK87" s="179"/>
      <c r="AL87" s="179"/>
      <c r="AM87" s="179"/>
      <c r="AN87" s="179"/>
      <c r="AO87" s="179"/>
      <c r="AP87" s="179"/>
      <c r="AQ87" s="179"/>
      <c r="AR87" s="181"/>
      <c r="AS87" s="181"/>
      <c r="AT87" s="181"/>
      <c r="AU87" s="181"/>
    </row>
    <row r="88" spans="1:47" s="182" customFormat="1" ht="11.4" thickTop="1" thickBot="1" x14ac:dyDescent="0.25">
      <c r="A88" s="237">
        <v>85</v>
      </c>
      <c r="B88" s="248" t="s">
        <v>47</v>
      </c>
      <c r="C88" s="224">
        <v>0</v>
      </c>
      <c r="D88" s="225">
        <v>0</v>
      </c>
      <c r="E88" s="241">
        <v>8300</v>
      </c>
      <c r="F88" s="227">
        <v>2000</v>
      </c>
      <c r="G88" s="227">
        <v>8300</v>
      </c>
      <c r="H88" s="227">
        <v>8300</v>
      </c>
      <c r="I88" s="227">
        <v>3500</v>
      </c>
      <c r="J88" s="242">
        <v>4000</v>
      </c>
      <c r="K88" s="252">
        <v>8300</v>
      </c>
      <c r="L88" s="244">
        <v>500</v>
      </c>
      <c r="M88" s="244">
        <v>8500</v>
      </c>
      <c r="N88" s="245">
        <v>9200</v>
      </c>
      <c r="O88" s="227">
        <v>6000</v>
      </c>
      <c r="P88" s="228">
        <v>11000</v>
      </c>
      <c r="Q88" s="230">
        <v>12500</v>
      </c>
      <c r="R88" s="229">
        <f t="shared" si="17"/>
        <v>74400</v>
      </c>
      <c r="S88" s="226">
        <f t="shared" si="18"/>
        <v>16000</v>
      </c>
      <c r="T88" s="400">
        <f t="shared" si="19"/>
        <v>90400</v>
      </c>
      <c r="U88" s="246">
        <f t="shared" si="13"/>
        <v>0</v>
      </c>
      <c r="V88" s="232">
        <f t="shared" si="14"/>
        <v>0</v>
      </c>
      <c r="W88" s="233">
        <f t="shared" si="20"/>
        <v>0</v>
      </c>
      <c r="X88" s="234">
        <f t="shared" si="15"/>
        <v>-12500</v>
      </c>
      <c r="Y88" s="233">
        <f t="shared" si="21"/>
        <v>-12500</v>
      </c>
      <c r="Z88" s="247">
        <v>85</v>
      </c>
      <c r="AA88" s="236">
        <f t="shared" si="16"/>
        <v>0</v>
      </c>
      <c r="AB88" s="172"/>
      <c r="AC88" s="172">
        <v>90400</v>
      </c>
      <c r="AD88" s="172">
        <v>0</v>
      </c>
      <c r="AE88" s="172">
        <v>0</v>
      </c>
      <c r="AF88" s="224"/>
      <c r="AG88" s="224"/>
      <c r="AH88" s="224"/>
      <c r="AI88" s="224"/>
      <c r="AJ88" s="179"/>
      <c r="AK88" s="179"/>
      <c r="AL88" s="179"/>
      <c r="AM88" s="179"/>
      <c r="AN88" s="179"/>
      <c r="AO88" s="179"/>
      <c r="AP88" s="179"/>
      <c r="AQ88" s="179"/>
      <c r="AR88" s="181"/>
      <c r="AS88" s="181"/>
      <c r="AT88" s="181"/>
      <c r="AU88" s="181"/>
    </row>
    <row r="89" spans="1:47" s="182" customFormat="1" ht="11.4" thickTop="1" thickBot="1" x14ac:dyDescent="0.25">
      <c r="A89" s="237">
        <v>86</v>
      </c>
      <c r="B89" s="248" t="s">
        <v>151</v>
      </c>
      <c r="C89" s="224">
        <v>0</v>
      </c>
      <c r="D89" s="225">
        <v>0</v>
      </c>
      <c r="E89" s="241">
        <v>8300</v>
      </c>
      <c r="F89" s="227">
        <v>2000</v>
      </c>
      <c r="G89" s="227">
        <v>8300</v>
      </c>
      <c r="H89" s="227">
        <v>8300</v>
      </c>
      <c r="I89" s="227">
        <v>3500</v>
      </c>
      <c r="J89" s="242">
        <v>4000</v>
      </c>
      <c r="K89" s="252">
        <v>8300</v>
      </c>
      <c r="L89" s="244">
        <v>500</v>
      </c>
      <c r="M89" s="244">
        <v>8500</v>
      </c>
      <c r="N89" s="245">
        <v>9200</v>
      </c>
      <c r="O89" s="227">
        <v>6000</v>
      </c>
      <c r="P89" s="228">
        <f>10700+300</f>
        <v>11000</v>
      </c>
      <c r="Q89" s="230">
        <f>10700+10000</f>
        <v>20700</v>
      </c>
      <c r="R89" s="229">
        <f t="shared" si="17"/>
        <v>82600</v>
      </c>
      <c r="S89" s="226">
        <f t="shared" si="18"/>
        <v>16000</v>
      </c>
      <c r="T89" s="400">
        <f t="shared" si="19"/>
        <v>98600</v>
      </c>
      <c r="U89" s="246">
        <f t="shared" si="13"/>
        <v>0</v>
      </c>
      <c r="V89" s="232">
        <f t="shared" si="14"/>
        <v>0</v>
      </c>
      <c r="W89" s="233">
        <f t="shared" si="20"/>
        <v>0</v>
      </c>
      <c r="X89" s="234">
        <f t="shared" si="15"/>
        <v>-20700</v>
      </c>
      <c r="Y89" s="233">
        <f t="shared" si="21"/>
        <v>-20700</v>
      </c>
      <c r="Z89" s="247">
        <v>86</v>
      </c>
      <c r="AA89" s="236">
        <f t="shared" si="16"/>
        <v>10000</v>
      </c>
      <c r="AB89" s="172"/>
      <c r="AC89" s="172">
        <v>88600</v>
      </c>
      <c r="AD89" s="172">
        <v>0</v>
      </c>
      <c r="AE89" s="172">
        <v>0</v>
      </c>
      <c r="AF89" s="224"/>
      <c r="AG89" s="224"/>
      <c r="AH89" s="224"/>
      <c r="AI89" s="224"/>
      <c r="AJ89" s="179"/>
      <c r="AK89" s="179"/>
      <c r="AL89" s="179"/>
      <c r="AM89" s="179"/>
      <c r="AN89" s="179"/>
      <c r="AO89" s="179"/>
      <c r="AP89" s="179"/>
      <c r="AQ89" s="179"/>
      <c r="AR89" s="181"/>
      <c r="AS89" s="181"/>
      <c r="AT89" s="181"/>
      <c r="AU89" s="181"/>
    </row>
    <row r="90" spans="1:47" s="182" customFormat="1" ht="11.4" thickTop="1" thickBot="1" x14ac:dyDescent="0.25">
      <c r="A90" s="237">
        <v>87</v>
      </c>
      <c r="B90" s="248" t="s">
        <v>480</v>
      </c>
      <c r="C90" s="224">
        <v>0</v>
      </c>
      <c r="D90" s="225">
        <v>0</v>
      </c>
      <c r="E90" s="241">
        <v>8300</v>
      </c>
      <c r="F90" s="227">
        <v>2000</v>
      </c>
      <c r="G90" s="227">
        <v>8300</v>
      </c>
      <c r="H90" s="227">
        <v>8300</v>
      </c>
      <c r="I90" s="227">
        <v>3500</v>
      </c>
      <c r="J90" s="242">
        <v>4000</v>
      </c>
      <c r="K90" s="252">
        <v>8300</v>
      </c>
      <c r="L90" s="244">
        <v>500</v>
      </c>
      <c r="M90" s="244">
        <v>8500</v>
      </c>
      <c r="N90" s="245">
        <v>9200</v>
      </c>
      <c r="O90" s="227">
        <v>6000</v>
      </c>
      <c r="P90" s="228">
        <v>11000</v>
      </c>
      <c r="Q90" s="230">
        <f>4000+4000+3000</f>
        <v>11000</v>
      </c>
      <c r="R90" s="229">
        <f t="shared" si="17"/>
        <v>72900</v>
      </c>
      <c r="S90" s="226">
        <f t="shared" si="18"/>
        <v>16000</v>
      </c>
      <c r="T90" s="400">
        <f t="shared" si="19"/>
        <v>88900</v>
      </c>
      <c r="U90" s="246">
        <f t="shared" si="13"/>
        <v>0</v>
      </c>
      <c r="V90" s="232">
        <f t="shared" si="14"/>
        <v>1500</v>
      </c>
      <c r="W90" s="233">
        <f t="shared" si="20"/>
        <v>1500</v>
      </c>
      <c r="X90" s="234">
        <f t="shared" si="15"/>
        <v>-11000</v>
      </c>
      <c r="Y90" s="233">
        <f t="shared" si="21"/>
        <v>-11000</v>
      </c>
      <c r="Z90" s="247">
        <v>87</v>
      </c>
      <c r="AA90" s="236">
        <f t="shared" si="16"/>
        <v>0</v>
      </c>
      <c r="AB90" s="172"/>
      <c r="AC90" s="172">
        <v>88900</v>
      </c>
      <c r="AD90" s="172">
        <v>0</v>
      </c>
      <c r="AE90" s="172">
        <v>0</v>
      </c>
      <c r="AF90" s="224"/>
      <c r="AG90" s="224"/>
      <c r="AH90" s="224"/>
      <c r="AI90" s="224"/>
      <c r="AJ90" s="179"/>
      <c r="AK90" s="179"/>
      <c r="AL90" s="179"/>
      <c r="AM90" s="179"/>
      <c r="AN90" s="179"/>
      <c r="AO90" s="179"/>
      <c r="AP90" s="179"/>
      <c r="AQ90" s="179"/>
      <c r="AR90" s="181"/>
      <c r="AS90" s="181"/>
      <c r="AT90" s="181"/>
      <c r="AU90" s="181"/>
    </row>
    <row r="91" spans="1:47" s="268" customFormat="1" ht="11.4" thickTop="1" thickBot="1" x14ac:dyDescent="0.25">
      <c r="A91" s="254">
        <v>88</v>
      </c>
      <c r="B91" s="255" t="s">
        <v>48</v>
      </c>
      <c r="C91" s="256">
        <v>0</v>
      </c>
      <c r="D91" s="257">
        <v>0</v>
      </c>
      <c r="E91" s="258">
        <v>8300</v>
      </c>
      <c r="F91" s="259">
        <v>2000</v>
      </c>
      <c r="G91" s="259">
        <v>8300</v>
      </c>
      <c r="H91" s="259">
        <v>8300</v>
      </c>
      <c r="I91" s="259">
        <v>3500</v>
      </c>
      <c r="J91" s="260">
        <f>350+3650</f>
        <v>4000</v>
      </c>
      <c r="K91" s="272">
        <v>8300</v>
      </c>
      <c r="L91" s="260">
        <v>500</v>
      </c>
      <c r="M91" s="260">
        <v>8500</v>
      </c>
      <c r="N91" s="262">
        <v>9200</v>
      </c>
      <c r="O91" s="259">
        <v>6000</v>
      </c>
      <c r="P91" s="273">
        <v>11000</v>
      </c>
      <c r="Q91" s="257">
        <f>917+4300+5200</f>
        <v>10417</v>
      </c>
      <c r="R91" s="418">
        <f t="shared" si="17"/>
        <v>72317</v>
      </c>
      <c r="S91" s="369">
        <f t="shared" si="18"/>
        <v>16000</v>
      </c>
      <c r="T91" s="457">
        <f t="shared" si="19"/>
        <v>88317</v>
      </c>
      <c r="U91" s="263">
        <f t="shared" si="13"/>
        <v>0</v>
      </c>
      <c r="V91" s="264">
        <f t="shared" si="14"/>
        <v>2083</v>
      </c>
      <c r="W91" s="265">
        <f t="shared" si="20"/>
        <v>2083</v>
      </c>
      <c r="X91" s="370">
        <f t="shared" si="15"/>
        <v>-10417</v>
      </c>
      <c r="Y91" s="265">
        <f t="shared" si="21"/>
        <v>-10417</v>
      </c>
      <c r="Z91" s="266">
        <v>88</v>
      </c>
      <c r="AA91" s="259">
        <f t="shared" si="16"/>
        <v>0</v>
      </c>
      <c r="AB91" s="267"/>
      <c r="AC91" s="267">
        <v>88317</v>
      </c>
      <c r="AD91" s="267">
        <v>0</v>
      </c>
      <c r="AE91" s="267">
        <v>0</v>
      </c>
      <c r="AF91" s="256"/>
      <c r="AG91" s="256"/>
      <c r="AH91" s="256"/>
      <c r="AI91" s="256"/>
      <c r="AJ91" s="371"/>
      <c r="AK91" s="371"/>
      <c r="AL91" s="371"/>
      <c r="AM91" s="371"/>
      <c r="AN91" s="371"/>
      <c r="AO91" s="371"/>
      <c r="AP91" s="371"/>
      <c r="AQ91" s="371"/>
    </row>
    <row r="92" spans="1:47" s="182" customFormat="1" ht="11.4" thickTop="1" thickBot="1" x14ac:dyDescent="0.25">
      <c r="A92" s="237">
        <v>89</v>
      </c>
      <c r="B92" s="248" t="s">
        <v>123</v>
      </c>
      <c r="C92" s="224">
        <v>0</v>
      </c>
      <c r="D92" s="225">
        <v>0</v>
      </c>
      <c r="E92" s="241">
        <v>8300</v>
      </c>
      <c r="F92" s="227">
        <v>2000</v>
      </c>
      <c r="G92" s="227">
        <v>8300</v>
      </c>
      <c r="H92" s="227">
        <v>8300</v>
      </c>
      <c r="I92" s="227">
        <v>3500</v>
      </c>
      <c r="J92" s="242">
        <v>4000</v>
      </c>
      <c r="K92" s="252">
        <v>8300</v>
      </c>
      <c r="L92" s="244">
        <v>500</v>
      </c>
      <c r="M92" s="244">
        <v>8500</v>
      </c>
      <c r="N92" s="245">
        <v>9200</v>
      </c>
      <c r="O92" s="227">
        <v>6000</v>
      </c>
      <c r="P92" s="228">
        <v>11000</v>
      </c>
      <c r="Q92" s="230">
        <f>1000+11000</f>
        <v>12000</v>
      </c>
      <c r="R92" s="229">
        <f t="shared" si="17"/>
        <v>73900</v>
      </c>
      <c r="S92" s="226">
        <f t="shared" si="18"/>
        <v>16000</v>
      </c>
      <c r="T92" s="400">
        <f t="shared" si="19"/>
        <v>89900</v>
      </c>
      <c r="U92" s="246">
        <f t="shared" si="13"/>
        <v>0</v>
      </c>
      <c r="V92" s="232">
        <f t="shared" si="14"/>
        <v>500</v>
      </c>
      <c r="W92" s="233">
        <f t="shared" si="20"/>
        <v>500</v>
      </c>
      <c r="X92" s="234">
        <f t="shared" si="15"/>
        <v>-12000</v>
      </c>
      <c r="Y92" s="233">
        <f t="shared" si="21"/>
        <v>-12000</v>
      </c>
      <c r="Z92" s="247">
        <v>89</v>
      </c>
      <c r="AA92" s="236">
        <f t="shared" si="16"/>
        <v>0</v>
      </c>
      <c r="AB92" s="172"/>
      <c r="AC92" s="172">
        <v>89900</v>
      </c>
      <c r="AD92" s="172">
        <v>0</v>
      </c>
      <c r="AE92" s="172">
        <v>0</v>
      </c>
      <c r="AF92" s="224"/>
      <c r="AG92" s="224"/>
      <c r="AH92" s="224"/>
      <c r="AI92" s="224"/>
      <c r="AJ92" s="179"/>
      <c r="AK92" s="179"/>
      <c r="AL92" s="179"/>
      <c r="AM92" s="179"/>
      <c r="AN92" s="179"/>
      <c r="AO92" s="179"/>
      <c r="AP92" s="179"/>
      <c r="AQ92" s="179"/>
      <c r="AR92" s="181"/>
      <c r="AS92" s="181"/>
      <c r="AT92" s="181"/>
      <c r="AU92" s="181"/>
    </row>
    <row r="93" spans="1:47" s="268" customFormat="1" ht="11.4" thickTop="1" thickBot="1" x14ac:dyDescent="0.25">
      <c r="A93" s="254">
        <v>90</v>
      </c>
      <c r="B93" s="255" t="s">
        <v>49</v>
      </c>
      <c r="C93" s="256">
        <v>0</v>
      </c>
      <c r="D93" s="257">
        <v>0</v>
      </c>
      <c r="E93" s="258">
        <v>8300</v>
      </c>
      <c r="F93" s="259">
        <v>2000</v>
      </c>
      <c r="G93" s="259">
        <v>8300</v>
      </c>
      <c r="H93" s="259">
        <v>8300</v>
      </c>
      <c r="I93" s="259">
        <v>3500</v>
      </c>
      <c r="J93" s="260">
        <v>4000</v>
      </c>
      <c r="K93" s="272">
        <v>8300</v>
      </c>
      <c r="L93" s="260">
        <v>500</v>
      </c>
      <c r="M93" s="260">
        <v>8500</v>
      </c>
      <c r="N93" s="262">
        <v>9200</v>
      </c>
      <c r="O93" s="259">
        <v>6000</v>
      </c>
      <c r="P93" s="273">
        <v>11000</v>
      </c>
      <c r="Q93" s="257">
        <f>6525+3125+3125</f>
        <v>12775</v>
      </c>
      <c r="R93" s="418">
        <f t="shared" si="17"/>
        <v>74675</v>
      </c>
      <c r="S93" s="369">
        <f t="shared" si="18"/>
        <v>16000</v>
      </c>
      <c r="T93" s="457">
        <f t="shared" si="19"/>
        <v>90675</v>
      </c>
      <c r="U93" s="263">
        <f t="shared" si="13"/>
        <v>0</v>
      </c>
      <c r="V93" s="264">
        <f t="shared" si="14"/>
        <v>0</v>
      </c>
      <c r="W93" s="265">
        <f t="shared" si="20"/>
        <v>0</v>
      </c>
      <c r="X93" s="370">
        <f t="shared" si="15"/>
        <v>-12775</v>
      </c>
      <c r="Y93" s="265">
        <f t="shared" si="21"/>
        <v>-12775</v>
      </c>
      <c r="Z93" s="266">
        <v>90</v>
      </c>
      <c r="AA93" s="259">
        <f t="shared" si="16"/>
        <v>0</v>
      </c>
      <c r="AB93" s="267"/>
      <c r="AC93" s="267">
        <v>90675</v>
      </c>
      <c r="AD93" s="267">
        <v>0</v>
      </c>
      <c r="AE93" s="267">
        <v>0</v>
      </c>
      <c r="AF93" s="256"/>
      <c r="AG93" s="256"/>
      <c r="AH93" s="256"/>
      <c r="AI93" s="256"/>
      <c r="AJ93" s="371"/>
      <c r="AK93" s="371"/>
      <c r="AL93" s="371"/>
      <c r="AM93" s="371"/>
      <c r="AN93" s="371"/>
      <c r="AO93" s="371"/>
      <c r="AP93" s="371"/>
      <c r="AQ93" s="371"/>
    </row>
    <row r="94" spans="1:47" s="268" customFormat="1" ht="11.4" thickTop="1" thickBot="1" x14ac:dyDescent="0.25">
      <c r="A94" s="254">
        <v>91</v>
      </c>
      <c r="B94" s="255" t="s">
        <v>49</v>
      </c>
      <c r="C94" s="256">
        <v>0</v>
      </c>
      <c r="D94" s="257">
        <v>0</v>
      </c>
      <c r="E94" s="258">
        <v>8300</v>
      </c>
      <c r="F94" s="259">
        <v>2000</v>
      </c>
      <c r="G94" s="259">
        <v>8300</v>
      </c>
      <c r="H94" s="259">
        <v>8300</v>
      </c>
      <c r="I94" s="259">
        <v>3500</v>
      </c>
      <c r="J94" s="260">
        <v>4000</v>
      </c>
      <c r="K94" s="272">
        <v>8300</v>
      </c>
      <c r="L94" s="260">
        <v>500</v>
      </c>
      <c r="M94" s="260">
        <v>8500</v>
      </c>
      <c r="N94" s="262">
        <v>9200</v>
      </c>
      <c r="O94" s="259">
        <v>6000</v>
      </c>
      <c r="P94" s="273">
        <v>11000</v>
      </c>
      <c r="Q94" s="257">
        <f>3400+3125+3125+3125</f>
        <v>12775</v>
      </c>
      <c r="R94" s="418">
        <f t="shared" si="17"/>
        <v>74675</v>
      </c>
      <c r="S94" s="369">
        <f t="shared" si="18"/>
        <v>16000</v>
      </c>
      <c r="T94" s="457">
        <f t="shared" si="19"/>
        <v>90675</v>
      </c>
      <c r="U94" s="263">
        <f t="shared" si="13"/>
        <v>0</v>
      </c>
      <c r="V94" s="264">
        <f t="shared" si="14"/>
        <v>0</v>
      </c>
      <c r="W94" s="265">
        <f t="shared" si="20"/>
        <v>0</v>
      </c>
      <c r="X94" s="370">
        <f t="shared" si="15"/>
        <v>-12775</v>
      </c>
      <c r="Y94" s="265">
        <f t="shared" si="21"/>
        <v>-12775</v>
      </c>
      <c r="Z94" s="266">
        <v>91</v>
      </c>
      <c r="AA94" s="259">
        <f t="shared" si="16"/>
        <v>0</v>
      </c>
      <c r="AB94" s="267"/>
      <c r="AC94" s="267">
        <v>90675</v>
      </c>
      <c r="AD94" s="267">
        <v>0</v>
      </c>
      <c r="AE94" s="267">
        <v>0</v>
      </c>
      <c r="AF94" s="256"/>
      <c r="AG94" s="256"/>
      <c r="AH94" s="256"/>
      <c r="AI94" s="256"/>
      <c r="AJ94" s="371"/>
      <c r="AK94" s="371"/>
      <c r="AL94" s="371"/>
      <c r="AM94" s="371"/>
      <c r="AN94" s="371"/>
      <c r="AO94" s="371"/>
      <c r="AP94" s="371"/>
      <c r="AQ94" s="371"/>
    </row>
    <row r="95" spans="1:47" s="268" customFormat="1" ht="11.4" thickTop="1" thickBot="1" x14ac:dyDescent="0.25">
      <c r="A95" s="254">
        <v>92</v>
      </c>
      <c r="B95" s="255" t="s">
        <v>49</v>
      </c>
      <c r="C95" s="256">
        <v>0</v>
      </c>
      <c r="D95" s="257">
        <v>0</v>
      </c>
      <c r="E95" s="258">
        <v>8300</v>
      </c>
      <c r="F95" s="259">
        <v>2000</v>
      </c>
      <c r="G95" s="259">
        <v>8300</v>
      </c>
      <c r="H95" s="259">
        <v>8300</v>
      </c>
      <c r="I95" s="259">
        <v>3500</v>
      </c>
      <c r="J95" s="260">
        <v>4000</v>
      </c>
      <c r="K95" s="272">
        <v>8300</v>
      </c>
      <c r="L95" s="260">
        <v>500</v>
      </c>
      <c r="M95" s="260">
        <v>8500</v>
      </c>
      <c r="N95" s="262">
        <v>9200</v>
      </c>
      <c r="O95" s="259">
        <v>6000</v>
      </c>
      <c r="P95" s="273">
        <v>11000</v>
      </c>
      <c r="Q95" s="257">
        <f>3408+3125+3125+3125</f>
        <v>12783</v>
      </c>
      <c r="R95" s="418">
        <f t="shared" si="17"/>
        <v>74683</v>
      </c>
      <c r="S95" s="369">
        <f t="shared" si="18"/>
        <v>16000</v>
      </c>
      <c r="T95" s="457">
        <f t="shared" si="19"/>
        <v>90683</v>
      </c>
      <c r="U95" s="263">
        <f t="shared" si="13"/>
        <v>0</v>
      </c>
      <c r="V95" s="264">
        <f t="shared" si="14"/>
        <v>0</v>
      </c>
      <c r="W95" s="265">
        <f t="shared" si="20"/>
        <v>0</v>
      </c>
      <c r="X95" s="370">
        <f t="shared" si="15"/>
        <v>-12783</v>
      </c>
      <c r="Y95" s="265">
        <f t="shared" si="21"/>
        <v>-12783</v>
      </c>
      <c r="Z95" s="266">
        <v>92</v>
      </c>
      <c r="AA95" s="259">
        <f t="shared" si="16"/>
        <v>0</v>
      </c>
      <c r="AB95" s="267"/>
      <c r="AC95" s="259">
        <v>90683</v>
      </c>
      <c r="AD95" s="267">
        <v>0</v>
      </c>
      <c r="AE95" s="267">
        <v>0</v>
      </c>
      <c r="AF95" s="256"/>
      <c r="AG95" s="256">
        <v>8250</v>
      </c>
      <c r="AH95" s="256"/>
      <c r="AI95" s="256"/>
      <c r="AJ95" s="371"/>
      <c r="AK95" s="371"/>
      <c r="AL95" s="371"/>
      <c r="AM95" s="371"/>
      <c r="AN95" s="371"/>
      <c r="AO95" s="371"/>
      <c r="AP95" s="371"/>
      <c r="AQ95" s="371"/>
    </row>
    <row r="96" spans="1:47" s="182" customFormat="1" ht="11.4" thickTop="1" thickBot="1" x14ac:dyDescent="0.25">
      <c r="A96" s="237">
        <v>93</v>
      </c>
      <c r="B96" s="248" t="s">
        <v>50</v>
      </c>
      <c r="C96" s="224">
        <v>0</v>
      </c>
      <c r="D96" s="225">
        <v>0</v>
      </c>
      <c r="E96" s="241">
        <v>8300</v>
      </c>
      <c r="F96" s="227">
        <v>2000</v>
      </c>
      <c r="G96" s="227">
        <v>8300</v>
      </c>
      <c r="H96" s="227">
        <v>8300</v>
      </c>
      <c r="I96" s="227">
        <v>3500</v>
      </c>
      <c r="J96" s="242">
        <v>4000</v>
      </c>
      <c r="K96" s="252">
        <v>8300</v>
      </c>
      <c r="L96" s="244">
        <v>500</v>
      </c>
      <c r="M96" s="244">
        <v>8500</v>
      </c>
      <c r="N96" s="245">
        <v>9200</v>
      </c>
      <c r="O96" s="227">
        <v>6000</v>
      </c>
      <c r="P96" s="228">
        <f>8500+2500</f>
        <v>11000</v>
      </c>
      <c r="Q96" s="230">
        <f>917+950+5000+3500+3500</f>
        <v>13867</v>
      </c>
      <c r="R96" s="229">
        <f t="shared" si="17"/>
        <v>75767</v>
      </c>
      <c r="S96" s="226">
        <f t="shared" si="18"/>
        <v>16000</v>
      </c>
      <c r="T96" s="400">
        <f t="shared" si="19"/>
        <v>91767</v>
      </c>
      <c r="U96" s="246">
        <f t="shared" si="13"/>
        <v>0</v>
      </c>
      <c r="V96" s="232">
        <f t="shared" si="14"/>
        <v>0</v>
      </c>
      <c r="W96" s="233">
        <f t="shared" si="20"/>
        <v>0</v>
      </c>
      <c r="X96" s="234">
        <f t="shared" si="15"/>
        <v>-13867</v>
      </c>
      <c r="Y96" s="233">
        <f t="shared" si="21"/>
        <v>-13867</v>
      </c>
      <c r="Z96" s="247">
        <v>93</v>
      </c>
      <c r="AA96" s="236">
        <f t="shared" si="16"/>
        <v>3500</v>
      </c>
      <c r="AB96" s="172"/>
      <c r="AC96" s="172">
        <v>88267</v>
      </c>
      <c r="AD96" s="172">
        <v>0</v>
      </c>
      <c r="AE96" s="172">
        <v>0</v>
      </c>
      <c r="AF96" s="224"/>
      <c r="AG96" s="224"/>
      <c r="AH96" s="224"/>
      <c r="AI96" s="224"/>
      <c r="AJ96" s="179"/>
      <c r="AK96" s="179"/>
      <c r="AL96" s="179"/>
      <c r="AM96" s="179"/>
      <c r="AN96" s="179"/>
      <c r="AO96" s="179"/>
      <c r="AP96" s="179"/>
      <c r="AQ96" s="179"/>
      <c r="AR96" s="181"/>
      <c r="AS96" s="181"/>
      <c r="AT96" s="181"/>
      <c r="AU96" s="181"/>
    </row>
    <row r="97" spans="1:47" s="182" customFormat="1" ht="11.4" thickTop="1" thickBot="1" x14ac:dyDescent="0.25">
      <c r="A97" s="237">
        <v>94</v>
      </c>
      <c r="B97" s="248" t="s">
        <v>51</v>
      </c>
      <c r="C97" s="224">
        <v>0</v>
      </c>
      <c r="D97" s="225">
        <v>0</v>
      </c>
      <c r="E97" s="241">
        <v>8300</v>
      </c>
      <c r="F97" s="227">
        <v>2000</v>
      </c>
      <c r="G97" s="227">
        <v>8300</v>
      </c>
      <c r="H97" s="227">
        <v>8300</v>
      </c>
      <c r="I97" s="227">
        <v>3500</v>
      </c>
      <c r="J97" s="242">
        <v>4000</v>
      </c>
      <c r="K97" s="252">
        <v>8300</v>
      </c>
      <c r="L97" s="244">
        <v>500</v>
      </c>
      <c r="M97" s="244">
        <v>8500</v>
      </c>
      <c r="N97" s="245">
        <v>9200</v>
      </c>
      <c r="O97" s="227">
        <v>6000</v>
      </c>
      <c r="P97" s="228">
        <v>11000</v>
      </c>
      <c r="Q97" s="230">
        <f>8334+4150</f>
        <v>12484</v>
      </c>
      <c r="R97" s="229">
        <f t="shared" si="17"/>
        <v>74384</v>
      </c>
      <c r="S97" s="226">
        <f t="shared" si="18"/>
        <v>16000</v>
      </c>
      <c r="T97" s="400">
        <f t="shared" si="19"/>
        <v>90384</v>
      </c>
      <c r="U97" s="246">
        <f t="shared" si="13"/>
        <v>0</v>
      </c>
      <c r="V97" s="232">
        <f t="shared" si="14"/>
        <v>16</v>
      </c>
      <c r="W97" s="233">
        <f t="shared" si="20"/>
        <v>16</v>
      </c>
      <c r="X97" s="234">
        <f t="shared" si="15"/>
        <v>-12484</v>
      </c>
      <c r="Y97" s="233">
        <f t="shared" si="21"/>
        <v>-12484</v>
      </c>
      <c r="Z97" s="247">
        <v>94</v>
      </c>
      <c r="AA97" s="236">
        <f t="shared" si="16"/>
        <v>4150</v>
      </c>
      <c r="AB97" s="172"/>
      <c r="AC97" s="172">
        <v>86234</v>
      </c>
      <c r="AD97" s="172">
        <v>0</v>
      </c>
      <c r="AE97" s="172">
        <v>0</v>
      </c>
      <c r="AF97" s="224"/>
      <c r="AG97" s="224"/>
      <c r="AH97" s="224"/>
      <c r="AI97" s="224"/>
      <c r="AJ97" s="179"/>
      <c r="AK97" s="179"/>
      <c r="AL97" s="179"/>
      <c r="AM97" s="179"/>
      <c r="AN97" s="179"/>
      <c r="AO97" s="179"/>
      <c r="AP97" s="179"/>
      <c r="AQ97" s="179"/>
      <c r="AR97" s="181"/>
      <c r="AS97" s="181"/>
      <c r="AT97" s="181"/>
      <c r="AU97" s="181"/>
    </row>
    <row r="98" spans="1:47" s="268" customFormat="1" ht="11.4" thickTop="1" thickBot="1" x14ac:dyDescent="0.25">
      <c r="A98" s="254">
        <v>95</v>
      </c>
      <c r="B98" s="255" t="s">
        <v>52</v>
      </c>
      <c r="C98" s="256">
        <v>0</v>
      </c>
      <c r="D98" s="257">
        <v>0</v>
      </c>
      <c r="E98" s="258">
        <v>8300</v>
      </c>
      <c r="F98" s="259">
        <v>2000</v>
      </c>
      <c r="G98" s="259">
        <v>8300</v>
      </c>
      <c r="H98" s="259">
        <v>8300</v>
      </c>
      <c r="I98" s="259">
        <v>3500</v>
      </c>
      <c r="J98" s="260">
        <v>4000</v>
      </c>
      <c r="K98" s="272">
        <v>8300</v>
      </c>
      <c r="L98" s="260">
        <v>500</v>
      </c>
      <c r="M98" s="260">
        <v>8500</v>
      </c>
      <c r="N98" s="262">
        <v>9200</v>
      </c>
      <c r="O98" s="259">
        <v>6000</v>
      </c>
      <c r="P98" s="273">
        <f>5500+5500</f>
        <v>11000</v>
      </c>
      <c r="Q98" s="257">
        <v>11000</v>
      </c>
      <c r="R98" s="418">
        <f t="shared" si="17"/>
        <v>72900</v>
      </c>
      <c r="S98" s="369">
        <f t="shared" si="18"/>
        <v>16000</v>
      </c>
      <c r="T98" s="457">
        <f t="shared" si="19"/>
        <v>88900</v>
      </c>
      <c r="U98" s="263">
        <f t="shared" si="13"/>
        <v>0</v>
      </c>
      <c r="V98" s="264">
        <f t="shared" si="14"/>
        <v>1500</v>
      </c>
      <c r="W98" s="265">
        <f t="shared" si="20"/>
        <v>1500</v>
      </c>
      <c r="X98" s="370">
        <f t="shared" si="15"/>
        <v>-11000</v>
      </c>
      <c r="Y98" s="265">
        <f t="shared" si="21"/>
        <v>-11000</v>
      </c>
      <c r="Z98" s="266">
        <v>95</v>
      </c>
      <c r="AA98" s="259">
        <f t="shared" si="16"/>
        <v>0</v>
      </c>
      <c r="AB98" s="267"/>
      <c r="AC98" s="267">
        <v>88900</v>
      </c>
      <c r="AD98" s="267">
        <v>0</v>
      </c>
      <c r="AE98" s="267">
        <v>0</v>
      </c>
      <c r="AF98" s="256"/>
      <c r="AG98" s="256"/>
      <c r="AH98" s="256"/>
      <c r="AI98" s="256"/>
      <c r="AJ98" s="371"/>
      <c r="AK98" s="371"/>
      <c r="AL98" s="371"/>
      <c r="AM98" s="371"/>
      <c r="AN98" s="371"/>
      <c r="AO98" s="371"/>
      <c r="AP98" s="371"/>
      <c r="AQ98" s="371"/>
    </row>
    <row r="99" spans="1:47" s="268" customFormat="1" ht="11.4" thickTop="1" thickBot="1" x14ac:dyDescent="0.25">
      <c r="A99" s="254">
        <v>96</v>
      </c>
      <c r="B99" s="255" t="s">
        <v>52</v>
      </c>
      <c r="C99" s="256">
        <v>0</v>
      </c>
      <c r="D99" s="257">
        <v>0</v>
      </c>
      <c r="E99" s="258">
        <v>8300</v>
      </c>
      <c r="F99" s="259">
        <v>2000</v>
      </c>
      <c r="G99" s="259">
        <v>8300</v>
      </c>
      <c r="H99" s="259">
        <v>8300</v>
      </c>
      <c r="I99" s="259">
        <v>3500</v>
      </c>
      <c r="J99" s="260">
        <f>3500+500</f>
        <v>4000</v>
      </c>
      <c r="K99" s="272">
        <v>8300</v>
      </c>
      <c r="L99" s="260">
        <v>500</v>
      </c>
      <c r="M99" s="260">
        <v>8500</v>
      </c>
      <c r="N99" s="262">
        <v>9200</v>
      </c>
      <c r="O99" s="259">
        <v>6000</v>
      </c>
      <c r="P99" s="273">
        <f>5500+5500</f>
        <v>11000</v>
      </c>
      <c r="Q99" s="257">
        <v>11000</v>
      </c>
      <c r="R99" s="418">
        <f t="shared" si="17"/>
        <v>72900</v>
      </c>
      <c r="S99" s="369">
        <f t="shared" si="18"/>
        <v>16000</v>
      </c>
      <c r="T99" s="457">
        <f t="shared" si="19"/>
        <v>88900</v>
      </c>
      <c r="U99" s="263">
        <f t="shared" si="13"/>
        <v>0</v>
      </c>
      <c r="V99" s="264">
        <f t="shared" si="14"/>
        <v>1500</v>
      </c>
      <c r="W99" s="265">
        <f t="shared" si="20"/>
        <v>1500</v>
      </c>
      <c r="X99" s="370">
        <f t="shared" si="15"/>
        <v>-11000</v>
      </c>
      <c r="Y99" s="265">
        <f t="shared" si="21"/>
        <v>-11000</v>
      </c>
      <c r="Z99" s="266">
        <v>96</v>
      </c>
      <c r="AA99" s="259">
        <f t="shared" si="16"/>
        <v>0</v>
      </c>
      <c r="AB99" s="267"/>
      <c r="AC99" s="267">
        <v>88900</v>
      </c>
      <c r="AD99" s="267">
        <v>0</v>
      </c>
      <c r="AE99" s="267">
        <v>0</v>
      </c>
      <c r="AF99" s="256"/>
      <c r="AG99" s="256"/>
      <c r="AH99" s="256"/>
      <c r="AI99" s="256"/>
      <c r="AJ99" s="371"/>
      <c r="AK99" s="371"/>
      <c r="AL99" s="371"/>
      <c r="AM99" s="371"/>
      <c r="AN99" s="371"/>
      <c r="AO99" s="371"/>
      <c r="AP99" s="371"/>
      <c r="AQ99" s="371"/>
    </row>
    <row r="100" spans="1:47" s="182" customFormat="1" ht="11.4" thickTop="1" thickBot="1" x14ac:dyDescent="0.25">
      <c r="A100" s="237">
        <v>97</v>
      </c>
      <c r="B100" s="248" t="s">
        <v>53</v>
      </c>
      <c r="C100" s="275">
        <v>0</v>
      </c>
      <c r="D100" s="225">
        <v>0</v>
      </c>
      <c r="E100" s="276">
        <v>8300</v>
      </c>
      <c r="F100" s="236">
        <v>2000</v>
      </c>
      <c r="G100" s="236">
        <v>8300</v>
      </c>
      <c r="H100" s="236">
        <v>8300</v>
      </c>
      <c r="I100" s="236">
        <v>3500</v>
      </c>
      <c r="J100" s="242">
        <f>2000+2000</f>
        <v>4000</v>
      </c>
      <c r="K100" s="252">
        <v>8300</v>
      </c>
      <c r="L100" s="244">
        <v>500</v>
      </c>
      <c r="M100" s="244">
        <v>8500</v>
      </c>
      <c r="N100" s="245">
        <v>9200</v>
      </c>
      <c r="O100" s="227">
        <v>6000</v>
      </c>
      <c r="P100" s="228">
        <f>5500+5500</f>
        <v>11000</v>
      </c>
      <c r="Q100" s="230">
        <f>5500+7000</f>
        <v>12500</v>
      </c>
      <c r="R100" s="229">
        <f t="shared" si="17"/>
        <v>74400</v>
      </c>
      <c r="S100" s="226">
        <f t="shared" si="18"/>
        <v>16000</v>
      </c>
      <c r="T100" s="400">
        <f t="shared" si="19"/>
        <v>90400</v>
      </c>
      <c r="U100" s="246">
        <f t="shared" si="13"/>
        <v>0</v>
      </c>
      <c r="V100" s="232">
        <f t="shared" si="14"/>
        <v>0</v>
      </c>
      <c r="W100" s="233">
        <f t="shared" si="20"/>
        <v>0</v>
      </c>
      <c r="X100" s="234">
        <f t="shared" si="15"/>
        <v>-12500</v>
      </c>
      <c r="Y100" s="233">
        <f t="shared" si="21"/>
        <v>-12500</v>
      </c>
      <c r="Z100" s="247">
        <v>97</v>
      </c>
      <c r="AA100" s="236">
        <f t="shared" si="16"/>
        <v>7000</v>
      </c>
      <c r="AB100" s="172"/>
      <c r="AC100" s="172">
        <v>83400</v>
      </c>
      <c r="AD100" s="172">
        <v>0</v>
      </c>
      <c r="AE100" s="172">
        <v>0</v>
      </c>
      <c r="AF100" s="224"/>
      <c r="AG100" s="224"/>
      <c r="AH100" s="224"/>
      <c r="AI100" s="224"/>
      <c r="AJ100" s="179"/>
      <c r="AK100" s="179"/>
      <c r="AL100" s="179"/>
      <c r="AM100" s="179"/>
      <c r="AN100" s="179"/>
      <c r="AO100" s="179"/>
      <c r="AP100" s="179"/>
      <c r="AQ100" s="179"/>
      <c r="AR100" s="181"/>
      <c r="AS100" s="181"/>
      <c r="AT100" s="181"/>
      <c r="AU100" s="181"/>
    </row>
    <row r="101" spans="1:47" s="268" customFormat="1" ht="11.4" thickTop="1" thickBot="1" x14ac:dyDescent="0.25">
      <c r="A101" s="254">
        <v>98</v>
      </c>
      <c r="B101" s="255" t="s">
        <v>54</v>
      </c>
      <c r="C101" s="256">
        <v>0</v>
      </c>
      <c r="D101" s="257">
        <v>0</v>
      </c>
      <c r="E101" s="258">
        <v>8300</v>
      </c>
      <c r="F101" s="259">
        <v>2000</v>
      </c>
      <c r="G101" s="259">
        <v>8300</v>
      </c>
      <c r="H101" s="259">
        <v>8300</v>
      </c>
      <c r="I101" s="259">
        <v>3500</v>
      </c>
      <c r="J101" s="260">
        <v>4000</v>
      </c>
      <c r="K101" s="272">
        <v>8300</v>
      </c>
      <c r="L101" s="260">
        <v>500</v>
      </c>
      <c r="M101" s="260">
        <v>8500</v>
      </c>
      <c r="N101" s="262">
        <v>9200</v>
      </c>
      <c r="O101" s="259">
        <v>6000</v>
      </c>
      <c r="P101" s="273">
        <f>1834+9166</f>
        <v>11000</v>
      </c>
      <c r="Q101" s="257">
        <f>4167+8400</f>
        <v>12567</v>
      </c>
      <c r="R101" s="418">
        <f t="shared" si="17"/>
        <v>74467</v>
      </c>
      <c r="S101" s="369">
        <f t="shared" si="18"/>
        <v>16000</v>
      </c>
      <c r="T101" s="457">
        <f t="shared" si="19"/>
        <v>90467</v>
      </c>
      <c r="U101" s="263">
        <f t="shared" si="13"/>
        <v>0</v>
      </c>
      <c r="V101" s="264">
        <f t="shared" si="14"/>
        <v>0</v>
      </c>
      <c r="W101" s="265">
        <f t="shared" si="20"/>
        <v>0</v>
      </c>
      <c r="X101" s="370">
        <f t="shared" ref="X101:X133" si="22">SUM(E$4,G$4,H$4,K$4,M$4,N$4,P$4)+D101-R101</f>
        <v>-12567</v>
      </c>
      <c r="Y101" s="265">
        <f t="shared" si="21"/>
        <v>-12567</v>
      </c>
      <c r="Z101" s="266">
        <v>98</v>
      </c>
      <c r="AA101" s="259">
        <f t="shared" ref="AA101:AA133" si="23">T101-AC101-SUM(C101:D101)+SUM(AD101:AE101)</f>
        <v>8400</v>
      </c>
      <c r="AB101" s="267"/>
      <c r="AC101" s="267">
        <v>82067</v>
      </c>
      <c r="AD101" s="267">
        <v>0</v>
      </c>
      <c r="AE101" s="267">
        <v>0</v>
      </c>
      <c r="AF101" s="256"/>
      <c r="AG101" s="256"/>
      <c r="AH101" s="256"/>
      <c r="AI101" s="256"/>
      <c r="AJ101" s="371"/>
      <c r="AK101" s="371"/>
      <c r="AL101" s="371"/>
      <c r="AM101" s="371"/>
      <c r="AN101" s="371"/>
      <c r="AO101" s="371"/>
      <c r="AP101" s="371"/>
      <c r="AQ101" s="371"/>
    </row>
    <row r="102" spans="1:47" s="268" customFormat="1" ht="11.4" thickTop="1" thickBot="1" x14ac:dyDescent="0.25">
      <c r="A102" s="254">
        <v>99</v>
      </c>
      <c r="B102" s="255" t="s">
        <v>54</v>
      </c>
      <c r="C102" s="256">
        <v>0</v>
      </c>
      <c r="D102" s="257">
        <v>0</v>
      </c>
      <c r="E102" s="258">
        <v>8300</v>
      </c>
      <c r="F102" s="259">
        <v>2000</v>
      </c>
      <c r="G102" s="259">
        <v>8300</v>
      </c>
      <c r="H102" s="259">
        <v>8300</v>
      </c>
      <c r="I102" s="259">
        <v>3500</v>
      </c>
      <c r="J102" s="260">
        <v>4000</v>
      </c>
      <c r="K102" s="272">
        <v>8300</v>
      </c>
      <c r="L102" s="260">
        <v>500</v>
      </c>
      <c r="M102" s="260">
        <v>8500</v>
      </c>
      <c r="N102" s="262">
        <v>9200</v>
      </c>
      <c r="O102" s="259">
        <v>6000</v>
      </c>
      <c r="P102" s="273">
        <f>1834+9166</f>
        <v>11000</v>
      </c>
      <c r="Q102" s="257">
        <f>4167+8400</f>
        <v>12567</v>
      </c>
      <c r="R102" s="418">
        <f t="shared" si="17"/>
        <v>74467</v>
      </c>
      <c r="S102" s="369">
        <f t="shared" si="18"/>
        <v>16000</v>
      </c>
      <c r="T102" s="457">
        <f t="shared" si="19"/>
        <v>90467</v>
      </c>
      <c r="U102" s="263">
        <f t="shared" si="13"/>
        <v>0</v>
      </c>
      <c r="V102" s="264">
        <f t="shared" si="14"/>
        <v>0</v>
      </c>
      <c r="W102" s="265">
        <f t="shared" si="20"/>
        <v>0</v>
      </c>
      <c r="X102" s="370">
        <f t="shared" si="22"/>
        <v>-12567</v>
      </c>
      <c r="Y102" s="265">
        <f t="shared" si="21"/>
        <v>-12567</v>
      </c>
      <c r="Z102" s="266">
        <v>99</v>
      </c>
      <c r="AA102" s="259">
        <f t="shared" si="23"/>
        <v>8400</v>
      </c>
      <c r="AB102" s="267"/>
      <c r="AC102" s="267">
        <v>82067</v>
      </c>
      <c r="AD102" s="267">
        <v>0</v>
      </c>
      <c r="AE102" s="267">
        <v>0</v>
      </c>
      <c r="AF102" s="256"/>
      <c r="AG102" s="256"/>
      <c r="AH102" s="256"/>
      <c r="AI102" s="256"/>
      <c r="AJ102" s="371"/>
      <c r="AK102" s="371"/>
      <c r="AL102" s="371"/>
      <c r="AM102" s="371"/>
      <c r="AN102" s="371"/>
      <c r="AO102" s="371"/>
      <c r="AP102" s="371"/>
      <c r="AQ102" s="371"/>
    </row>
    <row r="103" spans="1:47" s="182" customFormat="1" ht="11.4" thickTop="1" thickBot="1" x14ac:dyDescent="0.25">
      <c r="A103" s="237">
        <v>100</v>
      </c>
      <c r="B103" s="248" t="s">
        <v>55</v>
      </c>
      <c r="C103" s="224">
        <v>0</v>
      </c>
      <c r="D103" s="225">
        <v>0</v>
      </c>
      <c r="E103" s="241">
        <v>8300</v>
      </c>
      <c r="F103" s="227">
        <v>2000</v>
      </c>
      <c r="G103" s="227">
        <v>8300</v>
      </c>
      <c r="H103" s="227">
        <v>8300</v>
      </c>
      <c r="I103" s="227">
        <v>3500</v>
      </c>
      <c r="J103" s="242">
        <f>200+3800</f>
        <v>4000</v>
      </c>
      <c r="K103" s="252">
        <v>8300</v>
      </c>
      <c r="L103" s="244">
        <v>500</v>
      </c>
      <c r="M103" s="244">
        <v>8500</v>
      </c>
      <c r="N103" s="245">
        <v>9200</v>
      </c>
      <c r="O103" s="227">
        <v>6000</v>
      </c>
      <c r="P103" s="228">
        <f>5000+6000</f>
        <v>11000</v>
      </c>
      <c r="Q103" s="230"/>
      <c r="R103" s="229">
        <f t="shared" si="17"/>
        <v>61900</v>
      </c>
      <c r="S103" s="226">
        <f t="shared" si="18"/>
        <v>16000</v>
      </c>
      <c r="T103" s="400">
        <f t="shared" si="19"/>
        <v>77900</v>
      </c>
      <c r="U103" s="246">
        <f t="shared" si="13"/>
        <v>0</v>
      </c>
      <c r="V103" s="232">
        <f t="shared" si="14"/>
        <v>12500</v>
      </c>
      <c r="W103" s="233">
        <f t="shared" si="20"/>
        <v>12500</v>
      </c>
      <c r="X103" s="234">
        <f t="shared" si="22"/>
        <v>0</v>
      </c>
      <c r="Y103" s="233">
        <f t="shared" si="21"/>
        <v>0</v>
      </c>
      <c r="Z103" s="247">
        <v>100</v>
      </c>
      <c r="AA103" s="236">
        <f t="shared" si="23"/>
        <v>0</v>
      </c>
      <c r="AB103" s="172"/>
      <c r="AC103" s="172">
        <v>77900</v>
      </c>
      <c r="AD103" s="172">
        <v>0</v>
      </c>
      <c r="AE103" s="172">
        <v>0</v>
      </c>
      <c r="AF103" s="224"/>
      <c r="AG103" s="224"/>
      <c r="AH103" s="224"/>
      <c r="AI103" s="224"/>
      <c r="AJ103" s="179"/>
      <c r="AK103" s="179"/>
      <c r="AL103" s="179"/>
      <c r="AM103" s="179"/>
      <c r="AN103" s="179"/>
      <c r="AO103" s="179"/>
      <c r="AP103" s="179"/>
      <c r="AQ103" s="179"/>
      <c r="AR103" s="181"/>
      <c r="AS103" s="181"/>
      <c r="AT103" s="181"/>
      <c r="AU103" s="181"/>
    </row>
    <row r="104" spans="1:47" s="268" customFormat="1" ht="11.4" thickTop="1" thickBot="1" x14ac:dyDescent="0.25">
      <c r="A104" s="254">
        <v>101</v>
      </c>
      <c r="B104" s="255" t="s">
        <v>56</v>
      </c>
      <c r="C104" s="256">
        <v>0</v>
      </c>
      <c r="D104" s="257">
        <v>0</v>
      </c>
      <c r="E104" s="258">
        <v>8300</v>
      </c>
      <c r="F104" s="259">
        <v>2000</v>
      </c>
      <c r="G104" s="259">
        <v>8300</v>
      </c>
      <c r="H104" s="259">
        <v>8300</v>
      </c>
      <c r="I104" s="259">
        <v>3500</v>
      </c>
      <c r="J104" s="260">
        <v>4000</v>
      </c>
      <c r="K104" s="272">
        <v>8300</v>
      </c>
      <c r="L104" s="260">
        <v>500</v>
      </c>
      <c r="M104" s="260">
        <v>8500</v>
      </c>
      <c r="N104" s="262">
        <v>9200</v>
      </c>
      <c r="O104" s="259">
        <v>6000</v>
      </c>
      <c r="P104" s="273">
        <f>6000+5000</f>
        <v>11000</v>
      </c>
      <c r="Q104" s="257">
        <f>5000+5000+2500</f>
        <v>12500</v>
      </c>
      <c r="R104" s="418">
        <f t="shared" si="17"/>
        <v>74400</v>
      </c>
      <c r="S104" s="369">
        <f t="shared" si="18"/>
        <v>16000</v>
      </c>
      <c r="T104" s="457">
        <f t="shared" si="19"/>
        <v>90400</v>
      </c>
      <c r="U104" s="263">
        <f t="shared" si="13"/>
        <v>0</v>
      </c>
      <c r="V104" s="264">
        <f t="shared" si="14"/>
        <v>0</v>
      </c>
      <c r="W104" s="265">
        <f t="shared" si="20"/>
        <v>0</v>
      </c>
      <c r="X104" s="370">
        <f t="shared" si="22"/>
        <v>-12500</v>
      </c>
      <c r="Y104" s="265">
        <f t="shared" si="21"/>
        <v>-12500</v>
      </c>
      <c r="Z104" s="266">
        <v>101</v>
      </c>
      <c r="AA104" s="259">
        <f t="shared" si="23"/>
        <v>0</v>
      </c>
      <c r="AB104" s="267"/>
      <c r="AC104" s="267">
        <v>90400</v>
      </c>
      <c r="AD104" s="267">
        <v>0</v>
      </c>
      <c r="AE104" s="267">
        <v>0</v>
      </c>
      <c r="AF104" s="256"/>
      <c r="AG104" s="256"/>
      <c r="AH104" s="256"/>
      <c r="AI104" s="256"/>
      <c r="AJ104" s="371"/>
      <c r="AK104" s="371"/>
      <c r="AL104" s="371"/>
      <c r="AM104" s="371"/>
      <c r="AN104" s="371"/>
      <c r="AO104" s="371"/>
      <c r="AP104" s="371"/>
      <c r="AQ104" s="371"/>
    </row>
    <row r="105" spans="1:47" s="268" customFormat="1" ht="11.4" thickTop="1" thickBot="1" x14ac:dyDescent="0.25">
      <c r="A105" s="254" t="s">
        <v>548</v>
      </c>
      <c r="B105" s="255" t="s">
        <v>56</v>
      </c>
      <c r="C105" s="256">
        <v>0</v>
      </c>
      <c r="D105" s="281">
        <v>0</v>
      </c>
      <c r="E105" s="258">
        <v>4150</v>
      </c>
      <c r="F105" s="259">
        <v>1000</v>
      </c>
      <c r="G105" s="259">
        <v>4150</v>
      </c>
      <c r="H105" s="259">
        <v>4150</v>
      </c>
      <c r="I105" s="259">
        <v>1750</v>
      </c>
      <c r="J105" s="260">
        <v>2000</v>
      </c>
      <c r="K105" s="272">
        <v>4150</v>
      </c>
      <c r="L105" s="260">
        <v>250</v>
      </c>
      <c r="M105" s="260">
        <v>4250</v>
      </c>
      <c r="N105" s="262">
        <v>4600</v>
      </c>
      <c r="O105" s="259">
        <v>3000</v>
      </c>
      <c r="P105" s="273">
        <v>5500</v>
      </c>
      <c r="Q105" s="257">
        <f>2500+2500+1250</f>
        <v>6250</v>
      </c>
      <c r="R105" s="229">
        <f t="shared" si="17"/>
        <v>37200</v>
      </c>
      <c r="S105" s="369">
        <f t="shared" si="18"/>
        <v>8000</v>
      </c>
      <c r="T105" s="457">
        <f t="shared" si="19"/>
        <v>45200</v>
      </c>
      <c r="U105" s="263">
        <f>S$173/2-S105+C105</f>
        <v>0</v>
      </c>
      <c r="V105" s="264">
        <f>IF(V$173/2-R105+D105&gt;0,ROUNDUP(V$173/2-R105+D105,0),0)</f>
        <v>0</v>
      </c>
      <c r="W105" s="265">
        <f t="shared" si="20"/>
        <v>0</v>
      </c>
      <c r="X105" s="370">
        <f t="shared" si="22"/>
        <v>24700</v>
      </c>
      <c r="Y105" s="265">
        <f t="shared" si="21"/>
        <v>24700</v>
      </c>
      <c r="Z105" s="266" t="s">
        <v>548</v>
      </c>
      <c r="AA105" s="259">
        <f t="shared" si="23"/>
        <v>0</v>
      </c>
      <c r="AB105" s="267"/>
      <c r="AC105" s="267">
        <v>45200</v>
      </c>
      <c r="AD105" s="267">
        <v>0</v>
      </c>
      <c r="AE105" s="267">
        <v>0</v>
      </c>
      <c r="AF105" s="256"/>
      <c r="AG105" s="256"/>
      <c r="AH105" s="256"/>
      <c r="AI105" s="256"/>
      <c r="AJ105" s="371"/>
      <c r="AK105" s="371"/>
      <c r="AL105" s="371"/>
      <c r="AM105" s="371"/>
      <c r="AN105" s="371"/>
      <c r="AO105" s="371"/>
      <c r="AP105" s="371"/>
      <c r="AQ105" s="371"/>
    </row>
    <row r="106" spans="1:47" s="268" customFormat="1" ht="11.4" thickTop="1" thickBot="1" x14ac:dyDescent="0.25">
      <c r="A106" s="254" t="s">
        <v>549</v>
      </c>
      <c r="B106" s="255" t="s">
        <v>550</v>
      </c>
      <c r="C106" s="256">
        <v>0</v>
      </c>
      <c r="D106" s="281">
        <v>0</v>
      </c>
      <c r="E106" s="258">
        <v>4150</v>
      </c>
      <c r="F106" s="259">
        <v>1000</v>
      </c>
      <c r="G106" s="259">
        <v>4150</v>
      </c>
      <c r="H106" s="259">
        <v>4150</v>
      </c>
      <c r="I106" s="259">
        <v>1750</v>
      </c>
      <c r="J106" s="260">
        <v>2000</v>
      </c>
      <c r="K106" s="272">
        <v>4150</v>
      </c>
      <c r="L106" s="260">
        <v>250</v>
      </c>
      <c r="M106" s="260">
        <v>4250</v>
      </c>
      <c r="N106" s="262">
        <v>4600</v>
      </c>
      <c r="O106" s="259">
        <v>3000</v>
      </c>
      <c r="P106" s="273">
        <v>5500</v>
      </c>
      <c r="Q106" s="257">
        <v>6250</v>
      </c>
      <c r="R106" s="229">
        <f t="shared" si="17"/>
        <v>37200</v>
      </c>
      <c r="S106" s="369">
        <f t="shared" si="18"/>
        <v>8000</v>
      </c>
      <c r="T106" s="457">
        <f t="shared" si="19"/>
        <v>45200</v>
      </c>
      <c r="U106" s="263">
        <f>S$173/2-S106+C106</f>
        <v>0</v>
      </c>
      <c r="V106" s="264">
        <f>IF(V$173/2-R106+D106&gt;0,ROUNDUP(V$173/2-R106+D106,0),0)</f>
        <v>0</v>
      </c>
      <c r="W106" s="265">
        <f t="shared" si="20"/>
        <v>0</v>
      </c>
      <c r="X106" s="370"/>
      <c r="Y106" s="265"/>
      <c r="Z106" s="266" t="s">
        <v>549</v>
      </c>
      <c r="AA106" s="259">
        <f t="shared" si="23"/>
        <v>0</v>
      </c>
      <c r="AB106" s="267"/>
      <c r="AC106" s="267">
        <v>45200</v>
      </c>
      <c r="AD106" s="267">
        <v>0</v>
      </c>
      <c r="AE106" s="267">
        <v>0</v>
      </c>
      <c r="AF106" s="256"/>
      <c r="AG106" s="256"/>
      <c r="AH106" s="256"/>
      <c r="AI106" s="256"/>
      <c r="AJ106" s="371"/>
      <c r="AK106" s="371"/>
      <c r="AL106" s="371"/>
      <c r="AM106" s="371"/>
      <c r="AN106" s="371"/>
      <c r="AO106" s="371"/>
      <c r="AP106" s="371"/>
      <c r="AQ106" s="371"/>
    </row>
    <row r="107" spans="1:47" s="268" customFormat="1" ht="11.4" thickTop="1" thickBot="1" x14ac:dyDescent="0.25">
      <c r="A107" s="254">
        <v>103</v>
      </c>
      <c r="B107" s="255" t="s">
        <v>550</v>
      </c>
      <c r="C107" s="256">
        <v>0</v>
      </c>
      <c r="D107" s="257">
        <v>0</v>
      </c>
      <c r="E107" s="258">
        <v>8300</v>
      </c>
      <c r="F107" s="259">
        <v>2000</v>
      </c>
      <c r="G107" s="259">
        <v>8300</v>
      </c>
      <c r="H107" s="259">
        <v>8300</v>
      </c>
      <c r="I107" s="259">
        <v>3500</v>
      </c>
      <c r="J107" s="260">
        <v>4000</v>
      </c>
      <c r="K107" s="272">
        <v>8300</v>
      </c>
      <c r="L107" s="260">
        <v>500</v>
      </c>
      <c r="M107" s="260">
        <v>8500</v>
      </c>
      <c r="N107" s="262">
        <v>9200</v>
      </c>
      <c r="O107" s="259">
        <v>6000</v>
      </c>
      <c r="P107" s="273">
        <v>11000</v>
      </c>
      <c r="Q107" s="257">
        <v>12500</v>
      </c>
      <c r="R107" s="418">
        <f t="shared" si="17"/>
        <v>74400</v>
      </c>
      <c r="S107" s="369">
        <f t="shared" si="18"/>
        <v>16000</v>
      </c>
      <c r="T107" s="457">
        <f t="shared" si="19"/>
        <v>90400</v>
      </c>
      <c r="U107" s="263">
        <f t="shared" ref="U107:U133" si="24">S$173-S107+C107</f>
        <v>0</v>
      </c>
      <c r="V107" s="264">
        <f t="shared" ref="V107:V133" si="25">IF(V$173-R107+D107&gt;0,ROUNDUP(V$173-R107+D107,0),0)</f>
        <v>0</v>
      </c>
      <c r="W107" s="265">
        <f t="shared" si="20"/>
        <v>0</v>
      </c>
      <c r="X107" s="370">
        <f t="shared" si="22"/>
        <v>-12500</v>
      </c>
      <c r="Y107" s="265">
        <f t="shared" si="21"/>
        <v>-12500</v>
      </c>
      <c r="Z107" s="266">
        <v>103</v>
      </c>
      <c r="AA107" s="259">
        <f t="shared" si="23"/>
        <v>0</v>
      </c>
      <c r="AB107" s="267"/>
      <c r="AC107" s="267">
        <v>90400</v>
      </c>
      <c r="AD107" s="267">
        <v>0</v>
      </c>
      <c r="AE107" s="267">
        <v>0</v>
      </c>
      <c r="AF107" s="256"/>
      <c r="AG107" s="256"/>
      <c r="AH107" s="256"/>
      <c r="AI107" s="256"/>
      <c r="AJ107" s="371"/>
      <c r="AK107" s="371"/>
      <c r="AL107" s="371"/>
      <c r="AM107" s="371"/>
      <c r="AN107" s="371"/>
      <c r="AO107" s="371"/>
      <c r="AP107" s="371"/>
      <c r="AQ107" s="371"/>
    </row>
    <row r="108" spans="1:47" s="182" customFormat="1" ht="11.4" thickTop="1" thickBot="1" x14ac:dyDescent="0.25">
      <c r="A108" s="237">
        <v>104</v>
      </c>
      <c r="B108" s="248" t="s">
        <v>241</v>
      </c>
      <c r="C108" s="224">
        <v>0</v>
      </c>
      <c r="D108" s="225">
        <v>0</v>
      </c>
      <c r="E108" s="241">
        <v>8300</v>
      </c>
      <c r="F108" s="227">
        <v>2000</v>
      </c>
      <c r="G108" s="227">
        <v>8300</v>
      </c>
      <c r="H108" s="227">
        <v>8300</v>
      </c>
      <c r="I108" s="227">
        <v>3500</v>
      </c>
      <c r="J108" s="242">
        <v>4000</v>
      </c>
      <c r="K108" s="252">
        <v>8300</v>
      </c>
      <c r="L108" s="244">
        <v>500</v>
      </c>
      <c r="M108" s="244">
        <v>8500</v>
      </c>
      <c r="N108" s="245">
        <v>9200</v>
      </c>
      <c r="O108" s="227">
        <v>6000</v>
      </c>
      <c r="P108" s="228">
        <v>11000</v>
      </c>
      <c r="Q108" s="230">
        <v>12500</v>
      </c>
      <c r="R108" s="229">
        <f t="shared" si="17"/>
        <v>74400</v>
      </c>
      <c r="S108" s="226">
        <f t="shared" si="18"/>
        <v>16000</v>
      </c>
      <c r="T108" s="400">
        <f t="shared" si="19"/>
        <v>90400</v>
      </c>
      <c r="U108" s="246">
        <f t="shared" si="24"/>
        <v>0</v>
      </c>
      <c r="V108" s="232">
        <f t="shared" si="25"/>
        <v>0</v>
      </c>
      <c r="W108" s="233">
        <f t="shared" si="20"/>
        <v>0</v>
      </c>
      <c r="X108" s="234">
        <f t="shared" si="22"/>
        <v>-12500</v>
      </c>
      <c r="Y108" s="233">
        <f t="shared" si="21"/>
        <v>-12500</v>
      </c>
      <c r="Z108" s="247">
        <v>104</v>
      </c>
      <c r="AA108" s="236">
        <f t="shared" si="23"/>
        <v>12500</v>
      </c>
      <c r="AB108" s="172"/>
      <c r="AC108" s="172">
        <v>77900</v>
      </c>
      <c r="AD108" s="172">
        <v>0</v>
      </c>
      <c r="AE108" s="172">
        <v>0</v>
      </c>
      <c r="AF108" s="224"/>
      <c r="AG108" s="224"/>
      <c r="AH108" s="224"/>
      <c r="AI108" s="224"/>
      <c r="AJ108" s="179"/>
      <c r="AK108" s="179"/>
      <c r="AL108" s="179"/>
      <c r="AM108" s="179"/>
      <c r="AN108" s="179"/>
      <c r="AO108" s="179"/>
      <c r="AP108" s="179"/>
      <c r="AQ108" s="179"/>
      <c r="AR108" s="181"/>
      <c r="AS108" s="181"/>
      <c r="AT108" s="181"/>
      <c r="AU108" s="181"/>
    </row>
    <row r="109" spans="1:47" s="182" customFormat="1" ht="11.4" thickTop="1" thickBot="1" x14ac:dyDescent="0.25">
      <c r="A109" s="237">
        <v>105</v>
      </c>
      <c r="B109" s="248" t="s">
        <v>57</v>
      </c>
      <c r="C109" s="224">
        <v>0</v>
      </c>
      <c r="D109" s="225">
        <v>0</v>
      </c>
      <c r="E109" s="241">
        <v>8300</v>
      </c>
      <c r="F109" s="227">
        <v>2000</v>
      </c>
      <c r="G109" s="227">
        <v>8300</v>
      </c>
      <c r="H109" s="227">
        <v>8300</v>
      </c>
      <c r="I109" s="227">
        <v>3500</v>
      </c>
      <c r="J109" s="242">
        <v>4000</v>
      </c>
      <c r="K109" s="252">
        <v>8300</v>
      </c>
      <c r="L109" s="244">
        <v>500</v>
      </c>
      <c r="M109" s="244">
        <v>8500</v>
      </c>
      <c r="N109" s="245">
        <v>9200</v>
      </c>
      <c r="O109" s="227">
        <v>6000</v>
      </c>
      <c r="P109" s="228">
        <v>11000</v>
      </c>
      <c r="Q109" s="230">
        <f>4167+4167+4150</f>
        <v>12484</v>
      </c>
      <c r="R109" s="229">
        <f t="shared" si="17"/>
        <v>74384</v>
      </c>
      <c r="S109" s="226">
        <f t="shared" si="18"/>
        <v>16000</v>
      </c>
      <c r="T109" s="400">
        <f t="shared" si="19"/>
        <v>90384</v>
      </c>
      <c r="U109" s="246">
        <f t="shared" si="24"/>
        <v>0</v>
      </c>
      <c r="V109" s="232">
        <f t="shared" si="25"/>
        <v>16</v>
      </c>
      <c r="W109" s="233">
        <f t="shared" si="20"/>
        <v>16</v>
      </c>
      <c r="X109" s="234">
        <f t="shared" si="22"/>
        <v>-12484</v>
      </c>
      <c r="Y109" s="233">
        <f t="shared" si="21"/>
        <v>-12484</v>
      </c>
      <c r="Z109" s="247">
        <v>105</v>
      </c>
      <c r="AA109" s="236">
        <f t="shared" si="23"/>
        <v>4150</v>
      </c>
      <c r="AB109" s="172"/>
      <c r="AC109" s="172">
        <v>86234</v>
      </c>
      <c r="AD109" s="172">
        <v>0</v>
      </c>
      <c r="AE109" s="172">
        <v>0</v>
      </c>
      <c r="AF109" s="224"/>
      <c r="AG109" s="224"/>
      <c r="AH109" s="224"/>
      <c r="AI109" s="224"/>
      <c r="AJ109" s="179"/>
      <c r="AK109" s="179"/>
      <c r="AL109" s="179"/>
      <c r="AM109" s="179"/>
      <c r="AN109" s="179"/>
      <c r="AO109" s="179"/>
      <c r="AP109" s="179"/>
      <c r="AQ109" s="179"/>
      <c r="AR109" s="181"/>
      <c r="AS109" s="181"/>
      <c r="AT109" s="181"/>
      <c r="AU109" s="181"/>
    </row>
    <row r="110" spans="1:47" s="182" customFormat="1" ht="11.4" thickTop="1" thickBot="1" x14ac:dyDescent="0.25">
      <c r="A110" s="237">
        <v>106</v>
      </c>
      <c r="B110" s="248" t="s">
        <v>58</v>
      </c>
      <c r="C110" s="239">
        <v>6000</v>
      </c>
      <c r="D110" s="225">
        <v>0</v>
      </c>
      <c r="E110" s="241">
        <v>8300</v>
      </c>
      <c r="F110" s="227">
        <v>2000</v>
      </c>
      <c r="G110" s="227">
        <f>400+5000+2900</f>
        <v>8300</v>
      </c>
      <c r="H110" s="227">
        <f>4000+4300</f>
        <v>8300</v>
      </c>
      <c r="I110" s="227">
        <v>3500</v>
      </c>
      <c r="J110" s="242"/>
      <c r="K110" s="252">
        <f>700+3000+4600</f>
        <v>8300</v>
      </c>
      <c r="L110" s="244"/>
      <c r="M110" s="244">
        <f>300+7400+800</f>
        <v>8500</v>
      </c>
      <c r="N110" s="245">
        <v>7200</v>
      </c>
      <c r="O110" s="227">
        <v>6000</v>
      </c>
      <c r="P110" s="228"/>
      <c r="Q110" s="230"/>
      <c r="R110" s="229">
        <f t="shared" si="17"/>
        <v>48900</v>
      </c>
      <c r="S110" s="226">
        <f t="shared" si="18"/>
        <v>11500</v>
      </c>
      <c r="T110" s="400">
        <f t="shared" si="19"/>
        <v>60400</v>
      </c>
      <c r="U110" s="246">
        <f t="shared" si="24"/>
        <v>10500</v>
      </c>
      <c r="V110" s="232">
        <f t="shared" si="25"/>
        <v>25500</v>
      </c>
      <c r="W110" s="233">
        <f t="shared" si="20"/>
        <v>36000</v>
      </c>
      <c r="X110" s="234">
        <f t="shared" si="22"/>
        <v>13000</v>
      </c>
      <c r="Y110" s="233">
        <f t="shared" si="21"/>
        <v>23500</v>
      </c>
      <c r="Z110" s="247">
        <v>106</v>
      </c>
      <c r="AA110" s="236">
        <f t="shared" si="23"/>
        <v>18300</v>
      </c>
      <c r="AB110" s="172"/>
      <c r="AC110" s="172">
        <v>42100</v>
      </c>
      <c r="AD110" s="172">
        <v>6000</v>
      </c>
      <c r="AE110" s="172">
        <v>0</v>
      </c>
      <c r="AF110" s="224"/>
      <c r="AG110" s="224"/>
      <c r="AH110" s="224"/>
      <c r="AI110" s="224"/>
      <c r="AJ110" s="179"/>
      <c r="AK110" s="179"/>
      <c r="AL110" s="179"/>
      <c r="AM110" s="179"/>
      <c r="AN110" s="179"/>
      <c r="AO110" s="179"/>
      <c r="AP110" s="179"/>
      <c r="AQ110" s="179"/>
      <c r="AR110" s="181"/>
      <c r="AS110" s="181"/>
      <c r="AT110" s="181"/>
      <c r="AU110" s="181"/>
    </row>
    <row r="111" spans="1:47" s="182" customFormat="1" ht="11.4" thickTop="1" thickBot="1" x14ac:dyDescent="0.25">
      <c r="A111" s="237">
        <v>107</v>
      </c>
      <c r="B111" s="248" t="s">
        <v>59</v>
      </c>
      <c r="C111" s="224">
        <v>0</v>
      </c>
      <c r="D111" s="225">
        <v>0</v>
      </c>
      <c r="E111" s="241">
        <v>8300</v>
      </c>
      <c r="F111" s="227">
        <v>2000</v>
      </c>
      <c r="G111" s="227">
        <v>8300</v>
      </c>
      <c r="H111" s="227">
        <v>8300</v>
      </c>
      <c r="I111" s="227">
        <v>3500</v>
      </c>
      <c r="J111" s="242">
        <v>4000</v>
      </c>
      <c r="K111" s="252">
        <v>8300</v>
      </c>
      <c r="L111" s="244">
        <v>500</v>
      </c>
      <c r="M111" s="244">
        <v>8500</v>
      </c>
      <c r="N111" s="245">
        <v>9200</v>
      </c>
      <c r="O111" s="227">
        <v>6000</v>
      </c>
      <c r="P111" s="228">
        <f>2750+6417+1833</f>
        <v>11000</v>
      </c>
      <c r="Q111" s="230">
        <v>13167</v>
      </c>
      <c r="R111" s="229">
        <f t="shared" si="17"/>
        <v>75067</v>
      </c>
      <c r="S111" s="226">
        <f t="shared" si="18"/>
        <v>16000</v>
      </c>
      <c r="T111" s="400">
        <f t="shared" si="19"/>
        <v>91067</v>
      </c>
      <c r="U111" s="246">
        <f t="shared" si="24"/>
        <v>0</v>
      </c>
      <c r="V111" s="232">
        <f t="shared" si="25"/>
        <v>0</v>
      </c>
      <c r="W111" s="233">
        <f t="shared" si="20"/>
        <v>0</v>
      </c>
      <c r="X111" s="234">
        <f t="shared" si="22"/>
        <v>-13167</v>
      </c>
      <c r="Y111" s="233">
        <f t="shared" si="21"/>
        <v>-13167</v>
      </c>
      <c r="Z111" s="277">
        <v>107</v>
      </c>
      <c r="AA111" s="236">
        <f t="shared" si="23"/>
        <v>15000</v>
      </c>
      <c r="AB111" s="237"/>
      <c r="AC111" s="172">
        <v>76067</v>
      </c>
      <c r="AD111" s="172">
        <v>0</v>
      </c>
      <c r="AE111" s="172">
        <v>0</v>
      </c>
      <c r="AF111" s="224"/>
      <c r="AG111" s="224"/>
      <c r="AH111" s="224"/>
      <c r="AI111" s="224"/>
      <c r="AJ111" s="179"/>
      <c r="AK111" s="179"/>
      <c r="AL111" s="179"/>
      <c r="AM111" s="179"/>
      <c r="AN111" s="179"/>
      <c r="AO111" s="179"/>
      <c r="AP111" s="179"/>
      <c r="AQ111" s="179"/>
      <c r="AR111" s="181"/>
      <c r="AS111" s="181"/>
      <c r="AT111" s="181"/>
      <c r="AU111" s="181"/>
    </row>
    <row r="112" spans="1:47" s="182" customFormat="1" ht="11.4" thickTop="1" thickBot="1" x14ac:dyDescent="0.25">
      <c r="A112" s="237">
        <v>108</v>
      </c>
      <c r="B112" s="248" t="s">
        <v>60</v>
      </c>
      <c r="C112" s="224">
        <v>0</v>
      </c>
      <c r="D112" s="225">
        <v>0</v>
      </c>
      <c r="E112" s="241">
        <v>8300</v>
      </c>
      <c r="F112" s="227">
        <v>2000</v>
      </c>
      <c r="G112" s="227">
        <v>8300</v>
      </c>
      <c r="H112" s="227">
        <v>8300</v>
      </c>
      <c r="I112" s="227">
        <v>3500</v>
      </c>
      <c r="J112" s="242">
        <v>4000</v>
      </c>
      <c r="K112" s="252">
        <v>8300</v>
      </c>
      <c r="L112" s="244">
        <v>500</v>
      </c>
      <c r="M112" s="244">
        <v>8500</v>
      </c>
      <c r="N112" s="245">
        <v>9200</v>
      </c>
      <c r="O112" s="227">
        <v>6000</v>
      </c>
      <c r="P112" s="228">
        <v>11000</v>
      </c>
      <c r="Q112" s="230">
        <v>12500</v>
      </c>
      <c r="R112" s="229">
        <f t="shared" si="17"/>
        <v>74400</v>
      </c>
      <c r="S112" s="226">
        <f t="shared" si="18"/>
        <v>16000</v>
      </c>
      <c r="T112" s="400">
        <f t="shared" si="19"/>
        <v>90400</v>
      </c>
      <c r="U112" s="246">
        <f t="shared" si="24"/>
        <v>0</v>
      </c>
      <c r="V112" s="232">
        <f t="shared" si="25"/>
        <v>0</v>
      </c>
      <c r="W112" s="233">
        <f t="shared" si="20"/>
        <v>0</v>
      </c>
      <c r="X112" s="234">
        <f t="shared" si="22"/>
        <v>-12500</v>
      </c>
      <c r="Y112" s="233">
        <f t="shared" si="21"/>
        <v>-12500</v>
      </c>
      <c r="Z112" s="247">
        <v>108</v>
      </c>
      <c r="AA112" s="236">
        <f t="shared" si="23"/>
        <v>0</v>
      </c>
      <c r="AB112" s="172"/>
      <c r="AC112" s="172">
        <v>90400</v>
      </c>
      <c r="AD112" s="172">
        <v>0</v>
      </c>
      <c r="AE112" s="172">
        <v>0</v>
      </c>
      <c r="AF112" s="224"/>
      <c r="AG112" s="224"/>
      <c r="AH112" s="224"/>
      <c r="AI112" s="224"/>
      <c r="AJ112" s="179"/>
      <c r="AK112" s="179"/>
      <c r="AL112" s="179"/>
      <c r="AM112" s="179"/>
      <c r="AN112" s="179"/>
      <c r="AO112" s="179"/>
      <c r="AP112" s="179"/>
      <c r="AQ112" s="179"/>
      <c r="AR112" s="181"/>
      <c r="AS112" s="181"/>
      <c r="AT112" s="181"/>
      <c r="AU112" s="181"/>
    </row>
    <row r="113" spans="1:47" s="182" customFormat="1" ht="11.4" thickTop="1" thickBot="1" x14ac:dyDescent="0.25">
      <c r="A113" s="237">
        <v>109</v>
      </c>
      <c r="B113" s="248" t="s">
        <v>61</v>
      </c>
      <c r="C113" s="224">
        <v>0</v>
      </c>
      <c r="D113" s="225">
        <v>0</v>
      </c>
      <c r="E113" s="241">
        <v>8300</v>
      </c>
      <c r="F113" s="227">
        <v>2000</v>
      </c>
      <c r="G113" s="227">
        <v>8300</v>
      </c>
      <c r="H113" s="227">
        <v>8300</v>
      </c>
      <c r="I113" s="227">
        <v>3500</v>
      </c>
      <c r="J113" s="242">
        <v>4000</v>
      </c>
      <c r="K113" s="252">
        <v>8300</v>
      </c>
      <c r="L113" s="244">
        <v>500</v>
      </c>
      <c r="M113" s="244">
        <v>8500</v>
      </c>
      <c r="N113" s="245">
        <v>9200</v>
      </c>
      <c r="O113" s="227">
        <v>6000</v>
      </c>
      <c r="P113" s="228">
        <v>11000</v>
      </c>
      <c r="Q113" s="230">
        <v>12500</v>
      </c>
      <c r="R113" s="229">
        <f t="shared" si="17"/>
        <v>74400</v>
      </c>
      <c r="S113" s="226">
        <f t="shared" si="18"/>
        <v>16000</v>
      </c>
      <c r="T113" s="400">
        <f t="shared" si="19"/>
        <v>90400</v>
      </c>
      <c r="U113" s="246">
        <f t="shared" si="24"/>
        <v>0</v>
      </c>
      <c r="V113" s="232">
        <f t="shared" si="25"/>
        <v>0</v>
      </c>
      <c r="W113" s="233">
        <f t="shared" si="20"/>
        <v>0</v>
      </c>
      <c r="X113" s="234">
        <f t="shared" si="22"/>
        <v>-12500</v>
      </c>
      <c r="Y113" s="233">
        <f t="shared" si="21"/>
        <v>-12500</v>
      </c>
      <c r="Z113" s="247">
        <v>109</v>
      </c>
      <c r="AA113" s="236">
        <f t="shared" si="23"/>
        <v>0</v>
      </c>
      <c r="AB113" s="172"/>
      <c r="AC113" s="172">
        <v>90400</v>
      </c>
      <c r="AD113" s="172">
        <v>0</v>
      </c>
      <c r="AE113" s="172">
        <v>0</v>
      </c>
      <c r="AF113" s="224"/>
      <c r="AG113" s="224"/>
      <c r="AH113" s="224"/>
      <c r="AI113" s="224"/>
      <c r="AJ113" s="179"/>
      <c r="AK113" s="179"/>
      <c r="AL113" s="179"/>
      <c r="AM113" s="179"/>
      <c r="AN113" s="179"/>
      <c r="AO113" s="179"/>
      <c r="AP113" s="179"/>
      <c r="AQ113" s="179"/>
      <c r="AR113" s="181"/>
      <c r="AS113" s="181"/>
      <c r="AT113" s="181"/>
      <c r="AU113" s="181"/>
    </row>
    <row r="114" spans="1:47" s="182" customFormat="1" ht="11.4" thickTop="1" thickBot="1" x14ac:dyDescent="0.25">
      <c r="A114" s="237">
        <v>110</v>
      </c>
      <c r="B114" s="248" t="s">
        <v>62</v>
      </c>
      <c r="C114" s="224">
        <v>0</v>
      </c>
      <c r="D114" s="225">
        <v>0</v>
      </c>
      <c r="E114" s="241">
        <v>8300</v>
      </c>
      <c r="F114" s="227">
        <v>2000</v>
      </c>
      <c r="G114" s="227">
        <v>8300</v>
      </c>
      <c r="H114" s="227">
        <v>8300</v>
      </c>
      <c r="I114" s="227">
        <v>3500</v>
      </c>
      <c r="J114" s="242">
        <v>4000</v>
      </c>
      <c r="K114" s="252">
        <v>8300</v>
      </c>
      <c r="L114" s="244">
        <v>500</v>
      </c>
      <c r="M114" s="244">
        <v>8500</v>
      </c>
      <c r="N114" s="245">
        <v>9200</v>
      </c>
      <c r="O114" s="227">
        <v>6000</v>
      </c>
      <c r="P114" s="228">
        <f>5300+5000</f>
        <v>10300</v>
      </c>
      <c r="Q114" s="230">
        <f>8000+4500</f>
        <v>12500</v>
      </c>
      <c r="R114" s="229">
        <f t="shared" si="17"/>
        <v>73700</v>
      </c>
      <c r="S114" s="226">
        <f t="shared" si="18"/>
        <v>16000</v>
      </c>
      <c r="T114" s="400">
        <f t="shared" si="19"/>
        <v>89700</v>
      </c>
      <c r="U114" s="246">
        <f t="shared" si="24"/>
        <v>0</v>
      </c>
      <c r="V114" s="232">
        <f t="shared" si="25"/>
        <v>700</v>
      </c>
      <c r="W114" s="233">
        <f t="shared" si="20"/>
        <v>700</v>
      </c>
      <c r="X114" s="234">
        <f t="shared" si="22"/>
        <v>-11800</v>
      </c>
      <c r="Y114" s="233">
        <f t="shared" si="21"/>
        <v>-11800</v>
      </c>
      <c r="Z114" s="247">
        <v>110</v>
      </c>
      <c r="AA114" s="236">
        <f t="shared" si="23"/>
        <v>0</v>
      </c>
      <c r="AB114" s="172"/>
      <c r="AC114" s="172">
        <v>89700</v>
      </c>
      <c r="AD114" s="172">
        <v>0</v>
      </c>
      <c r="AE114" s="172">
        <v>0</v>
      </c>
      <c r="AF114" s="224"/>
      <c r="AG114" s="224"/>
      <c r="AH114" s="224"/>
      <c r="AI114" s="224"/>
      <c r="AJ114" s="179"/>
      <c r="AK114" s="179"/>
      <c r="AL114" s="179"/>
      <c r="AM114" s="179"/>
      <c r="AN114" s="179"/>
      <c r="AO114" s="179"/>
      <c r="AP114" s="179"/>
      <c r="AQ114" s="179"/>
      <c r="AR114" s="181"/>
      <c r="AS114" s="181"/>
      <c r="AT114" s="181"/>
      <c r="AU114" s="181"/>
    </row>
    <row r="115" spans="1:47" s="182" customFormat="1" ht="11.4" thickTop="1" thickBot="1" x14ac:dyDescent="0.25">
      <c r="A115" s="237">
        <v>111</v>
      </c>
      <c r="B115" s="248" t="s">
        <v>116</v>
      </c>
      <c r="C115" s="224">
        <v>0</v>
      </c>
      <c r="D115" s="225">
        <v>0</v>
      </c>
      <c r="E115" s="241">
        <v>8300</v>
      </c>
      <c r="F115" s="227">
        <v>2000</v>
      </c>
      <c r="G115" s="227">
        <v>8300</v>
      </c>
      <c r="H115" s="227">
        <v>8300</v>
      </c>
      <c r="I115" s="227">
        <v>3500</v>
      </c>
      <c r="J115" s="242">
        <f>850+3150</f>
        <v>4000</v>
      </c>
      <c r="K115" s="252">
        <v>8300</v>
      </c>
      <c r="L115" s="244">
        <v>500</v>
      </c>
      <c r="M115" s="244">
        <v>8500</v>
      </c>
      <c r="N115" s="245">
        <v>9200</v>
      </c>
      <c r="O115" s="227">
        <v>6000</v>
      </c>
      <c r="P115" s="228">
        <v>11000</v>
      </c>
      <c r="Q115" s="230">
        <v>13350</v>
      </c>
      <c r="R115" s="229">
        <f t="shared" si="17"/>
        <v>75250</v>
      </c>
      <c r="S115" s="226">
        <f t="shared" si="18"/>
        <v>16000</v>
      </c>
      <c r="T115" s="400">
        <f t="shared" si="19"/>
        <v>91250</v>
      </c>
      <c r="U115" s="246">
        <f t="shared" si="24"/>
        <v>0</v>
      </c>
      <c r="V115" s="232">
        <f t="shared" si="25"/>
        <v>0</v>
      </c>
      <c r="W115" s="233">
        <f t="shared" si="20"/>
        <v>0</v>
      </c>
      <c r="X115" s="234">
        <f t="shared" si="22"/>
        <v>-13350</v>
      </c>
      <c r="Y115" s="233">
        <f t="shared" si="21"/>
        <v>-13350</v>
      </c>
      <c r="Z115" s="247">
        <v>111</v>
      </c>
      <c r="AA115" s="236">
        <f t="shared" si="23"/>
        <v>0</v>
      </c>
      <c r="AB115" s="172"/>
      <c r="AC115" s="172">
        <v>91250</v>
      </c>
      <c r="AD115" s="172">
        <v>0</v>
      </c>
      <c r="AE115" s="172">
        <v>0</v>
      </c>
      <c r="AF115" s="224"/>
      <c r="AG115" s="224"/>
      <c r="AH115" s="224"/>
      <c r="AI115" s="224"/>
      <c r="AJ115" s="179"/>
      <c r="AK115" s="179"/>
      <c r="AL115" s="179"/>
      <c r="AM115" s="179"/>
      <c r="AN115" s="179"/>
      <c r="AO115" s="179"/>
      <c r="AP115" s="179"/>
      <c r="AQ115" s="179"/>
      <c r="AR115" s="181"/>
      <c r="AS115" s="181"/>
      <c r="AT115" s="181"/>
      <c r="AU115" s="181"/>
    </row>
    <row r="116" spans="1:47" s="182" customFormat="1" ht="11.4" thickTop="1" thickBot="1" x14ac:dyDescent="0.25">
      <c r="A116" s="237">
        <v>112</v>
      </c>
      <c r="B116" s="248" t="s">
        <v>63</v>
      </c>
      <c r="C116" s="224">
        <v>0</v>
      </c>
      <c r="D116" s="225">
        <v>0</v>
      </c>
      <c r="E116" s="241">
        <v>8300</v>
      </c>
      <c r="F116" s="227">
        <v>2000</v>
      </c>
      <c r="G116" s="227">
        <v>8300</v>
      </c>
      <c r="H116" s="227">
        <v>8300</v>
      </c>
      <c r="I116" s="227">
        <v>3500</v>
      </c>
      <c r="J116" s="242">
        <v>850</v>
      </c>
      <c r="K116" s="252">
        <v>8300</v>
      </c>
      <c r="L116" s="244"/>
      <c r="M116" s="244">
        <v>8500</v>
      </c>
      <c r="N116" s="245">
        <v>9200</v>
      </c>
      <c r="O116" s="227">
        <f>3000+3000</f>
        <v>6000</v>
      </c>
      <c r="P116" s="228">
        <f>9167+1833</f>
        <v>11000</v>
      </c>
      <c r="Q116" s="230">
        <f>6252+2084+2084+2084</f>
        <v>12504</v>
      </c>
      <c r="R116" s="229">
        <f t="shared" si="17"/>
        <v>74404</v>
      </c>
      <c r="S116" s="226">
        <f t="shared" si="18"/>
        <v>12350</v>
      </c>
      <c r="T116" s="400">
        <f t="shared" si="19"/>
        <v>86754</v>
      </c>
      <c r="U116" s="246">
        <f t="shared" si="24"/>
        <v>3650</v>
      </c>
      <c r="V116" s="232">
        <f t="shared" si="25"/>
        <v>0</v>
      </c>
      <c r="W116" s="233">
        <f t="shared" si="20"/>
        <v>3650</v>
      </c>
      <c r="X116" s="234">
        <f t="shared" si="22"/>
        <v>-12504</v>
      </c>
      <c r="Y116" s="233">
        <f t="shared" si="21"/>
        <v>-8854</v>
      </c>
      <c r="Z116" s="247">
        <v>112</v>
      </c>
      <c r="AA116" s="236">
        <f t="shared" si="23"/>
        <v>0</v>
      </c>
      <c r="AB116" s="172"/>
      <c r="AC116" s="172">
        <v>86754</v>
      </c>
      <c r="AD116" s="172">
        <v>0</v>
      </c>
      <c r="AE116" s="172">
        <v>0</v>
      </c>
      <c r="AF116" s="224"/>
      <c r="AG116" s="224"/>
      <c r="AH116" s="224"/>
      <c r="AI116" s="224"/>
      <c r="AJ116" s="179"/>
      <c r="AK116" s="179"/>
      <c r="AL116" s="179"/>
      <c r="AM116" s="179"/>
      <c r="AN116" s="179"/>
      <c r="AO116" s="179"/>
      <c r="AP116" s="179"/>
      <c r="AQ116" s="179"/>
      <c r="AR116" s="181"/>
      <c r="AS116" s="181"/>
      <c r="AT116" s="181"/>
      <c r="AU116" s="181"/>
    </row>
    <row r="117" spans="1:47" s="182" customFormat="1" ht="11.4" thickTop="1" thickBot="1" x14ac:dyDescent="0.25">
      <c r="A117" s="237">
        <v>113</v>
      </c>
      <c r="B117" s="248" t="s">
        <v>64</v>
      </c>
      <c r="C117" s="224">
        <v>0</v>
      </c>
      <c r="D117" s="225">
        <v>0</v>
      </c>
      <c r="E117" s="241">
        <v>8300</v>
      </c>
      <c r="F117" s="227">
        <v>2000</v>
      </c>
      <c r="G117" s="227">
        <v>8300</v>
      </c>
      <c r="H117" s="227">
        <v>8300</v>
      </c>
      <c r="I117" s="227">
        <v>3500</v>
      </c>
      <c r="J117" s="242">
        <v>4000</v>
      </c>
      <c r="K117" s="252">
        <v>8300</v>
      </c>
      <c r="L117" s="244">
        <v>500</v>
      </c>
      <c r="M117" s="244">
        <v>8500</v>
      </c>
      <c r="N117" s="245">
        <v>9200</v>
      </c>
      <c r="O117" s="227">
        <v>6000</v>
      </c>
      <c r="P117" s="228">
        <f>10800+200</f>
        <v>11000</v>
      </c>
      <c r="Q117" s="230">
        <v>27300</v>
      </c>
      <c r="R117" s="229">
        <f t="shared" si="17"/>
        <v>89200</v>
      </c>
      <c r="S117" s="226">
        <f t="shared" si="18"/>
        <v>16000</v>
      </c>
      <c r="T117" s="400">
        <f t="shared" si="19"/>
        <v>105200</v>
      </c>
      <c r="U117" s="246">
        <f t="shared" si="24"/>
        <v>0</v>
      </c>
      <c r="V117" s="232">
        <f t="shared" si="25"/>
        <v>0</v>
      </c>
      <c r="W117" s="233">
        <f t="shared" si="20"/>
        <v>0</v>
      </c>
      <c r="X117" s="234">
        <f t="shared" si="22"/>
        <v>-27300</v>
      </c>
      <c r="Y117" s="233">
        <f t="shared" si="21"/>
        <v>-27300</v>
      </c>
      <c r="Z117" s="247">
        <v>113</v>
      </c>
      <c r="AA117" s="236">
        <f t="shared" si="23"/>
        <v>27500</v>
      </c>
      <c r="AB117" s="172"/>
      <c r="AC117" s="172">
        <v>77700</v>
      </c>
      <c r="AD117" s="172">
        <v>0</v>
      </c>
      <c r="AE117" s="172">
        <v>0</v>
      </c>
      <c r="AF117" s="224"/>
      <c r="AG117" s="224"/>
      <c r="AH117" s="224"/>
      <c r="AI117" s="224"/>
      <c r="AJ117" s="179"/>
      <c r="AK117" s="179"/>
      <c r="AL117" s="179"/>
      <c r="AM117" s="179"/>
      <c r="AN117" s="179"/>
      <c r="AO117" s="179"/>
      <c r="AP117" s="179"/>
      <c r="AQ117" s="179"/>
      <c r="AR117" s="181"/>
      <c r="AS117" s="181"/>
      <c r="AT117" s="181"/>
      <c r="AU117" s="181"/>
    </row>
    <row r="118" spans="1:47" s="182" customFormat="1" ht="11.4" thickTop="1" thickBot="1" x14ac:dyDescent="0.25">
      <c r="A118" s="237">
        <v>114</v>
      </c>
      <c r="B118" s="248" t="s">
        <v>208</v>
      </c>
      <c r="C118" s="224">
        <v>0</v>
      </c>
      <c r="D118" s="225">
        <v>0</v>
      </c>
      <c r="E118" s="241">
        <v>8300</v>
      </c>
      <c r="F118" s="227">
        <v>2000</v>
      </c>
      <c r="G118" s="227">
        <v>8300</v>
      </c>
      <c r="H118" s="227">
        <v>8300</v>
      </c>
      <c r="I118" s="227">
        <v>3500</v>
      </c>
      <c r="J118" s="242">
        <v>4000</v>
      </c>
      <c r="K118" s="252">
        <v>8300</v>
      </c>
      <c r="L118" s="244">
        <v>500</v>
      </c>
      <c r="M118" s="244">
        <v>8500</v>
      </c>
      <c r="N118" s="245">
        <v>9200</v>
      </c>
      <c r="O118" s="227">
        <v>6000</v>
      </c>
      <c r="P118" s="228">
        <f>5500+5500</f>
        <v>11000</v>
      </c>
      <c r="Q118" s="230">
        <v>4167</v>
      </c>
      <c r="R118" s="229">
        <f t="shared" si="17"/>
        <v>66067</v>
      </c>
      <c r="S118" s="226">
        <f t="shared" si="18"/>
        <v>16000</v>
      </c>
      <c r="T118" s="400">
        <f t="shared" si="19"/>
        <v>82067</v>
      </c>
      <c r="U118" s="246">
        <f t="shared" si="24"/>
        <v>0</v>
      </c>
      <c r="V118" s="232">
        <f t="shared" si="25"/>
        <v>8333</v>
      </c>
      <c r="W118" s="233">
        <f t="shared" si="20"/>
        <v>8333</v>
      </c>
      <c r="X118" s="234">
        <f t="shared" si="22"/>
        <v>-4167</v>
      </c>
      <c r="Y118" s="233">
        <f t="shared" si="21"/>
        <v>-4167</v>
      </c>
      <c r="Z118" s="247">
        <v>114</v>
      </c>
      <c r="AA118" s="236">
        <f t="shared" si="23"/>
        <v>0</v>
      </c>
      <c r="AB118" s="172"/>
      <c r="AC118" s="172">
        <v>82067</v>
      </c>
      <c r="AD118" s="172">
        <v>0</v>
      </c>
      <c r="AE118" s="172">
        <v>0</v>
      </c>
      <c r="AF118" s="224"/>
      <c r="AG118" s="224"/>
      <c r="AH118" s="224"/>
      <c r="AI118" s="224"/>
      <c r="AJ118" s="179"/>
      <c r="AK118" s="179"/>
      <c r="AL118" s="179"/>
      <c r="AM118" s="179"/>
      <c r="AN118" s="179"/>
      <c r="AO118" s="179"/>
      <c r="AP118" s="179"/>
      <c r="AQ118" s="179"/>
      <c r="AR118" s="181"/>
      <c r="AS118" s="181"/>
      <c r="AT118" s="181"/>
      <c r="AU118" s="181"/>
    </row>
    <row r="119" spans="1:47" s="268" customFormat="1" ht="11.4" thickTop="1" thickBot="1" x14ac:dyDescent="0.25">
      <c r="A119" s="254">
        <v>115</v>
      </c>
      <c r="B119" s="255" t="s">
        <v>65</v>
      </c>
      <c r="C119" s="256">
        <v>0</v>
      </c>
      <c r="D119" s="257">
        <v>0</v>
      </c>
      <c r="E119" s="258">
        <v>8300</v>
      </c>
      <c r="F119" s="259">
        <v>2000</v>
      </c>
      <c r="G119" s="258">
        <v>8300</v>
      </c>
      <c r="H119" s="258">
        <v>8300</v>
      </c>
      <c r="I119" s="259">
        <v>3500</v>
      </c>
      <c r="J119" s="260">
        <v>4000</v>
      </c>
      <c r="K119" s="272">
        <v>8300</v>
      </c>
      <c r="L119" s="260">
        <v>500</v>
      </c>
      <c r="M119" s="260">
        <v>8500</v>
      </c>
      <c r="N119" s="262">
        <v>9200</v>
      </c>
      <c r="O119" s="259">
        <v>6000</v>
      </c>
      <c r="P119" s="273"/>
      <c r="Q119" s="257"/>
      <c r="R119" s="418">
        <f t="shared" si="17"/>
        <v>50900</v>
      </c>
      <c r="S119" s="369">
        <f t="shared" si="18"/>
        <v>16000</v>
      </c>
      <c r="T119" s="457">
        <f t="shared" si="19"/>
        <v>66900</v>
      </c>
      <c r="U119" s="263">
        <f t="shared" si="24"/>
        <v>0</v>
      </c>
      <c r="V119" s="264">
        <f t="shared" si="25"/>
        <v>23500</v>
      </c>
      <c r="W119" s="265">
        <f t="shared" si="20"/>
        <v>23500</v>
      </c>
      <c r="X119" s="370">
        <f t="shared" si="22"/>
        <v>11000</v>
      </c>
      <c r="Y119" s="265">
        <f t="shared" si="21"/>
        <v>11000</v>
      </c>
      <c r="Z119" s="266">
        <v>115</v>
      </c>
      <c r="AA119" s="259">
        <f t="shared" si="23"/>
        <v>0</v>
      </c>
      <c r="AB119" s="267"/>
      <c r="AC119" s="267">
        <v>66900</v>
      </c>
      <c r="AD119" s="267">
        <v>0</v>
      </c>
      <c r="AE119" s="267">
        <v>0</v>
      </c>
      <c r="AF119" s="256">
        <v>8200</v>
      </c>
      <c r="AG119" s="256"/>
      <c r="AH119" s="369">
        <v>2063.9899999999998</v>
      </c>
      <c r="AI119" s="369">
        <v>12500</v>
      </c>
      <c r="AJ119" s="371">
        <v>4250</v>
      </c>
      <c r="AK119" s="371"/>
      <c r="AL119" s="371"/>
      <c r="AM119" s="371"/>
      <c r="AN119" s="371"/>
      <c r="AO119" s="371"/>
      <c r="AP119" s="371"/>
      <c r="AQ119" s="371"/>
    </row>
    <row r="120" spans="1:47" s="268" customFormat="1" ht="11.4" thickTop="1" thickBot="1" x14ac:dyDescent="0.25">
      <c r="A120" s="254">
        <v>116</v>
      </c>
      <c r="B120" s="255" t="s">
        <v>65</v>
      </c>
      <c r="C120" s="256">
        <v>0</v>
      </c>
      <c r="D120" s="257">
        <v>0</v>
      </c>
      <c r="E120" s="258">
        <v>8300</v>
      </c>
      <c r="F120" s="259">
        <v>2000</v>
      </c>
      <c r="G120" s="259">
        <v>8300</v>
      </c>
      <c r="H120" s="259">
        <f>1000</f>
        <v>1000</v>
      </c>
      <c r="I120" s="259">
        <v>3500</v>
      </c>
      <c r="J120" s="260">
        <v>4000</v>
      </c>
      <c r="K120" s="272">
        <v>8300</v>
      </c>
      <c r="L120" s="260">
        <v>500</v>
      </c>
      <c r="M120" s="260">
        <v>8500</v>
      </c>
      <c r="N120" s="262">
        <v>8433</v>
      </c>
      <c r="O120" s="259">
        <v>6000</v>
      </c>
      <c r="P120" s="273"/>
      <c r="Q120" s="257"/>
      <c r="R120" s="418">
        <f t="shared" si="17"/>
        <v>42833</v>
      </c>
      <c r="S120" s="369">
        <f t="shared" si="18"/>
        <v>16000</v>
      </c>
      <c r="T120" s="457">
        <f t="shared" si="19"/>
        <v>58833</v>
      </c>
      <c r="U120" s="263">
        <f t="shared" si="24"/>
        <v>0</v>
      </c>
      <c r="V120" s="264">
        <f t="shared" si="25"/>
        <v>31567</v>
      </c>
      <c r="W120" s="265">
        <f t="shared" si="20"/>
        <v>31567</v>
      </c>
      <c r="X120" s="370">
        <f t="shared" si="22"/>
        <v>19067</v>
      </c>
      <c r="Y120" s="265">
        <f t="shared" si="21"/>
        <v>19067</v>
      </c>
      <c r="Z120" s="266">
        <v>116</v>
      </c>
      <c r="AA120" s="259">
        <f t="shared" si="23"/>
        <v>0</v>
      </c>
      <c r="AB120" s="267"/>
      <c r="AC120" s="267">
        <v>58833</v>
      </c>
      <c r="AD120" s="267">
        <v>0</v>
      </c>
      <c r="AE120" s="267">
        <v>0</v>
      </c>
      <c r="AF120" s="256"/>
      <c r="AG120" s="256">
        <v>7300</v>
      </c>
      <c r="AH120" s="256">
        <v>2063</v>
      </c>
      <c r="AI120" s="369">
        <v>12500</v>
      </c>
      <c r="AJ120" s="371">
        <v>4250</v>
      </c>
      <c r="AK120" s="371"/>
      <c r="AL120" s="371"/>
      <c r="AM120" s="371"/>
      <c r="AN120" s="371"/>
      <c r="AO120" s="371"/>
      <c r="AP120" s="371"/>
      <c r="AQ120" s="371"/>
    </row>
    <row r="121" spans="1:47" s="182" customFormat="1" ht="11.4" thickTop="1" thickBot="1" x14ac:dyDescent="0.25">
      <c r="A121" s="237">
        <v>117</v>
      </c>
      <c r="B121" s="248" t="s">
        <v>66</v>
      </c>
      <c r="C121" s="224">
        <v>0</v>
      </c>
      <c r="D121" s="225">
        <v>0</v>
      </c>
      <c r="E121" s="241">
        <v>8300</v>
      </c>
      <c r="F121" s="227">
        <v>2000</v>
      </c>
      <c r="G121" s="227">
        <v>8300</v>
      </c>
      <c r="H121" s="227">
        <v>8300</v>
      </c>
      <c r="I121" s="227">
        <v>3500</v>
      </c>
      <c r="J121" s="242"/>
      <c r="K121" s="252">
        <v>8300</v>
      </c>
      <c r="L121" s="244"/>
      <c r="M121" s="244">
        <v>8500</v>
      </c>
      <c r="N121" s="245">
        <v>9200</v>
      </c>
      <c r="O121" s="227"/>
      <c r="P121" s="228">
        <f>8300+1000+1000+700</f>
        <v>11000</v>
      </c>
      <c r="Q121" s="230">
        <f>4300+1000+1000+1000+1000</f>
        <v>8300</v>
      </c>
      <c r="R121" s="229">
        <f t="shared" si="17"/>
        <v>70200</v>
      </c>
      <c r="S121" s="226">
        <f t="shared" si="18"/>
        <v>5500</v>
      </c>
      <c r="T121" s="400">
        <f t="shared" si="19"/>
        <v>75700</v>
      </c>
      <c r="U121" s="246">
        <f t="shared" si="24"/>
        <v>10500</v>
      </c>
      <c r="V121" s="232">
        <f t="shared" si="25"/>
        <v>4200</v>
      </c>
      <c r="W121" s="233">
        <f t="shared" si="20"/>
        <v>14700</v>
      </c>
      <c r="X121" s="234">
        <f t="shared" si="22"/>
        <v>-8300</v>
      </c>
      <c r="Y121" s="233">
        <f t="shared" si="21"/>
        <v>2200</v>
      </c>
      <c r="Z121" s="247">
        <v>117</v>
      </c>
      <c r="AA121" s="236">
        <f t="shared" si="23"/>
        <v>1000</v>
      </c>
      <c r="AB121" s="172"/>
      <c r="AC121" s="172">
        <v>74700</v>
      </c>
      <c r="AD121" s="172">
        <v>0</v>
      </c>
      <c r="AE121" s="172">
        <v>0</v>
      </c>
      <c r="AF121" s="224"/>
      <c r="AG121" s="224"/>
      <c r="AH121" s="224"/>
      <c r="AI121" s="224"/>
      <c r="AJ121" s="179"/>
      <c r="AK121" s="179"/>
      <c r="AL121" s="179"/>
      <c r="AM121" s="179"/>
      <c r="AN121" s="179"/>
      <c r="AO121" s="179"/>
      <c r="AP121" s="179"/>
      <c r="AQ121" s="179"/>
      <c r="AR121" s="181"/>
      <c r="AS121" s="181"/>
      <c r="AT121" s="181"/>
      <c r="AU121" s="181"/>
    </row>
    <row r="122" spans="1:47" s="182" customFormat="1" ht="11.4" thickTop="1" thickBot="1" x14ac:dyDescent="0.25">
      <c r="A122" s="237">
        <v>118</v>
      </c>
      <c r="B122" s="248" t="s">
        <v>67</v>
      </c>
      <c r="C122" s="224">
        <v>0</v>
      </c>
      <c r="D122" s="251">
        <v>0</v>
      </c>
      <c r="E122" s="241">
        <v>8300</v>
      </c>
      <c r="F122" s="227">
        <v>2000</v>
      </c>
      <c r="G122" s="227">
        <v>8300</v>
      </c>
      <c r="H122" s="227">
        <v>8300</v>
      </c>
      <c r="I122" s="249">
        <v>3500</v>
      </c>
      <c r="J122" s="242">
        <v>4000</v>
      </c>
      <c r="K122" s="252">
        <v>8300</v>
      </c>
      <c r="L122" s="244">
        <v>500</v>
      </c>
      <c r="M122" s="244">
        <v>8500</v>
      </c>
      <c r="N122" s="245">
        <f>5234+3966</f>
        <v>9200</v>
      </c>
      <c r="O122" s="227">
        <v>6000</v>
      </c>
      <c r="P122" s="228">
        <v>11000</v>
      </c>
      <c r="Q122" s="230">
        <f>2750+9750</f>
        <v>12500</v>
      </c>
      <c r="R122" s="229">
        <f t="shared" si="17"/>
        <v>74400</v>
      </c>
      <c r="S122" s="226">
        <f t="shared" si="18"/>
        <v>16000</v>
      </c>
      <c r="T122" s="400">
        <f t="shared" si="19"/>
        <v>90400</v>
      </c>
      <c r="U122" s="246">
        <f t="shared" si="24"/>
        <v>0</v>
      </c>
      <c r="V122" s="232">
        <f t="shared" si="25"/>
        <v>0</v>
      </c>
      <c r="W122" s="233">
        <f t="shared" si="20"/>
        <v>0</v>
      </c>
      <c r="X122" s="234">
        <f t="shared" si="22"/>
        <v>-12500</v>
      </c>
      <c r="Y122" s="233">
        <f t="shared" si="21"/>
        <v>-12500</v>
      </c>
      <c r="Z122" s="247">
        <v>118</v>
      </c>
      <c r="AA122" s="236">
        <f t="shared" si="23"/>
        <v>9750</v>
      </c>
      <c r="AB122" s="172"/>
      <c r="AC122" s="172">
        <v>80650</v>
      </c>
      <c r="AD122" s="172">
        <v>0</v>
      </c>
      <c r="AE122" s="172">
        <v>0</v>
      </c>
      <c r="AF122" s="224"/>
      <c r="AG122" s="224"/>
      <c r="AH122" s="224"/>
      <c r="AI122" s="224"/>
      <c r="AJ122" s="179"/>
      <c r="AK122" s="179"/>
      <c r="AL122" s="179"/>
      <c r="AM122" s="179"/>
      <c r="AN122" s="179"/>
      <c r="AO122" s="179"/>
      <c r="AP122" s="179"/>
      <c r="AQ122" s="179"/>
      <c r="AR122" s="181"/>
      <c r="AS122" s="181"/>
      <c r="AT122" s="181"/>
      <c r="AU122" s="181"/>
    </row>
    <row r="123" spans="1:47" s="182" customFormat="1" ht="11.4" thickTop="1" thickBot="1" x14ac:dyDescent="0.25">
      <c r="A123" s="237">
        <v>119</v>
      </c>
      <c r="B123" s="248" t="s">
        <v>68</v>
      </c>
      <c r="C123" s="239">
        <f>45000-45000</f>
        <v>0</v>
      </c>
      <c r="D123" s="269">
        <f>7200-7200</f>
        <v>0</v>
      </c>
      <c r="E123" s="227">
        <v>8300</v>
      </c>
      <c r="F123" s="227">
        <v>2000</v>
      </c>
      <c r="G123" s="227">
        <v>8300</v>
      </c>
      <c r="H123" s="227">
        <v>8300</v>
      </c>
      <c r="I123" s="227">
        <v>3500</v>
      </c>
      <c r="J123" s="242">
        <f>900+3100</f>
        <v>4000</v>
      </c>
      <c r="K123" s="252">
        <f>4150+4150</f>
        <v>8300</v>
      </c>
      <c r="L123" s="244">
        <v>500</v>
      </c>
      <c r="M123" s="244">
        <v>8500</v>
      </c>
      <c r="N123" s="245">
        <f>8433+767</f>
        <v>9200</v>
      </c>
      <c r="O123" s="227">
        <v>6000</v>
      </c>
      <c r="P123" s="228">
        <f>133+1460+9407</f>
        <v>11000</v>
      </c>
      <c r="Q123" s="230"/>
      <c r="R123" s="229">
        <f t="shared" si="17"/>
        <v>61900</v>
      </c>
      <c r="S123" s="226">
        <f t="shared" si="18"/>
        <v>16000</v>
      </c>
      <c r="T123" s="400">
        <f t="shared" si="19"/>
        <v>77900</v>
      </c>
      <c r="U123" s="246">
        <f t="shared" si="24"/>
        <v>0</v>
      </c>
      <c r="V123" s="232">
        <f t="shared" si="25"/>
        <v>12500</v>
      </c>
      <c r="W123" s="233">
        <f t="shared" si="20"/>
        <v>12500</v>
      </c>
      <c r="X123" s="234">
        <f t="shared" si="22"/>
        <v>0</v>
      </c>
      <c r="Y123" s="233">
        <f t="shared" si="21"/>
        <v>0</v>
      </c>
      <c r="Z123" s="247">
        <v>119</v>
      </c>
      <c r="AA123" s="236">
        <f t="shared" si="23"/>
        <v>0</v>
      </c>
      <c r="AB123" s="172"/>
      <c r="AC123" s="172">
        <v>77900</v>
      </c>
      <c r="AD123" s="172">
        <v>0</v>
      </c>
      <c r="AE123" s="172">
        <v>0</v>
      </c>
      <c r="AF123" s="224"/>
      <c r="AG123" s="224"/>
      <c r="AH123" s="224"/>
      <c r="AI123" s="224"/>
      <c r="AJ123" s="179"/>
      <c r="AK123" s="179"/>
      <c r="AL123" s="179"/>
      <c r="AM123" s="179"/>
      <c r="AN123" s="179"/>
      <c r="AO123" s="179"/>
      <c r="AP123" s="179"/>
      <c r="AQ123" s="179"/>
      <c r="AR123" s="181"/>
      <c r="AS123" s="181"/>
      <c r="AT123" s="181"/>
      <c r="AU123" s="181"/>
    </row>
    <row r="124" spans="1:47" s="182" customFormat="1" ht="11.4" thickTop="1" thickBot="1" x14ac:dyDescent="0.25">
      <c r="A124" s="237">
        <v>120</v>
      </c>
      <c r="B124" s="248" t="s">
        <v>69</v>
      </c>
      <c r="C124" s="224">
        <v>0</v>
      </c>
      <c r="D124" s="225">
        <v>0</v>
      </c>
      <c r="E124" s="241">
        <v>8300</v>
      </c>
      <c r="F124" s="227">
        <v>2000</v>
      </c>
      <c r="G124" s="227">
        <v>8300</v>
      </c>
      <c r="H124" s="227">
        <v>8300</v>
      </c>
      <c r="I124" s="227">
        <v>3500</v>
      </c>
      <c r="J124" s="242">
        <v>4000</v>
      </c>
      <c r="K124" s="252">
        <v>8300</v>
      </c>
      <c r="L124" s="244">
        <v>500</v>
      </c>
      <c r="M124" s="244">
        <v>8500</v>
      </c>
      <c r="N124" s="245">
        <v>9200</v>
      </c>
      <c r="O124" s="227">
        <v>6000</v>
      </c>
      <c r="P124" s="228">
        <v>11000</v>
      </c>
      <c r="Q124" s="230"/>
      <c r="R124" s="229">
        <f t="shared" si="17"/>
        <v>61900</v>
      </c>
      <c r="S124" s="226">
        <f t="shared" si="18"/>
        <v>16000</v>
      </c>
      <c r="T124" s="400">
        <f t="shared" si="19"/>
        <v>77900</v>
      </c>
      <c r="U124" s="246">
        <f t="shared" si="24"/>
        <v>0</v>
      </c>
      <c r="V124" s="232">
        <f t="shared" si="25"/>
        <v>12500</v>
      </c>
      <c r="W124" s="233">
        <f t="shared" si="20"/>
        <v>12500</v>
      </c>
      <c r="X124" s="234">
        <f t="shared" si="22"/>
        <v>0</v>
      </c>
      <c r="Y124" s="233">
        <f t="shared" si="21"/>
        <v>0</v>
      </c>
      <c r="Z124" s="247">
        <v>120</v>
      </c>
      <c r="AA124" s="236">
        <f t="shared" si="23"/>
        <v>0</v>
      </c>
      <c r="AB124" s="172"/>
      <c r="AC124" s="172">
        <v>77900</v>
      </c>
      <c r="AD124" s="172">
        <v>0</v>
      </c>
      <c r="AE124" s="172">
        <v>0</v>
      </c>
      <c r="AF124" s="224"/>
      <c r="AG124" s="224"/>
      <c r="AH124" s="224"/>
      <c r="AI124" s="224"/>
      <c r="AJ124" s="179"/>
      <c r="AK124" s="179"/>
      <c r="AL124" s="179"/>
      <c r="AM124" s="179"/>
      <c r="AN124" s="179"/>
      <c r="AO124" s="179"/>
      <c r="AP124" s="179"/>
      <c r="AQ124" s="179"/>
      <c r="AR124" s="181"/>
      <c r="AS124" s="181"/>
      <c r="AT124" s="181"/>
      <c r="AU124" s="181"/>
    </row>
    <row r="125" spans="1:47" s="182" customFormat="1" ht="11.4" thickTop="1" thickBot="1" x14ac:dyDescent="0.25">
      <c r="A125" s="237">
        <v>121</v>
      </c>
      <c r="B125" s="248" t="s">
        <v>135</v>
      </c>
      <c r="C125" s="224">
        <v>0</v>
      </c>
      <c r="D125" s="225">
        <v>0</v>
      </c>
      <c r="E125" s="241">
        <v>8300</v>
      </c>
      <c r="F125" s="227">
        <v>2000</v>
      </c>
      <c r="G125" s="227">
        <v>8300</v>
      </c>
      <c r="H125" s="227">
        <v>8300</v>
      </c>
      <c r="I125" s="227">
        <v>3500</v>
      </c>
      <c r="J125" s="242">
        <v>4000</v>
      </c>
      <c r="K125" s="252">
        <v>8300</v>
      </c>
      <c r="L125" s="244">
        <v>500</v>
      </c>
      <c r="M125" s="244">
        <v>8500</v>
      </c>
      <c r="N125" s="245">
        <v>9200</v>
      </c>
      <c r="O125" s="227">
        <v>6000</v>
      </c>
      <c r="P125" s="228">
        <f>5500+5500</f>
        <v>11000</v>
      </c>
      <c r="Q125" s="230">
        <v>4167</v>
      </c>
      <c r="R125" s="229">
        <f t="shared" si="17"/>
        <v>66067</v>
      </c>
      <c r="S125" s="226">
        <f t="shared" si="18"/>
        <v>16000</v>
      </c>
      <c r="T125" s="400">
        <f t="shared" si="19"/>
        <v>82067</v>
      </c>
      <c r="U125" s="246">
        <f t="shared" si="24"/>
        <v>0</v>
      </c>
      <c r="V125" s="232">
        <f t="shared" si="25"/>
        <v>8333</v>
      </c>
      <c r="W125" s="233">
        <f t="shared" si="20"/>
        <v>8333</v>
      </c>
      <c r="X125" s="234">
        <f t="shared" si="22"/>
        <v>-4167</v>
      </c>
      <c r="Y125" s="233">
        <f t="shared" si="21"/>
        <v>-4167</v>
      </c>
      <c r="Z125" s="247">
        <v>121</v>
      </c>
      <c r="AA125" s="236">
        <f t="shared" si="23"/>
        <v>0</v>
      </c>
      <c r="AB125" s="172"/>
      <c r="AC125" s="172">
        <v>82067</v>
      </c>
      <c r="AD125" s="172">
        <v>0</v>
      </c>
      <c r="AE125" s="172">
        <v>0</v>
      </c>
      <c r="AF125" s="224"/>
      <c r="AG125" s="224"/>
      <c r="AH125" s="224"/>
      <c r="AI125" s="224"/>
      <c r="AJ125" s="179"/>
      <c r="AK125" s="179"/>
      <c r="AL125" s="179"/>
      <c r="AM125" s="179"/>
      <c r="AN125" s="179"/>
      <c r="AO125" s="179"/>
      <c r="AP125" s="179"/>
      <c r="AQ125" s="179"/>
      <c r="AR125" s="181"/>
      <c r="AS125" s="181"/>
      <c r="AT125" s="181"/>
      <c r="AU125" s="181"/>
    </row>
    <row r="126" spans="1:47" s="182" customFormat="1" ht="11.4" thickTop="1" thickBot="1" x14ac:dyDescent="0.25">
      <c r="A126" s="237">
        <v>122</v>
      </c>
      <c r="B126" s="248" t="s">
        <v>70</v>
      </c>
      <c r="C126" s="224">
        <v>0</v>
      </c>
      <c r="D126" s="225">
        <v>0</v>
      </c>
      <c r="E126" s="241">
        <v>8300</v>
      </c>
      <c r="F126" s="227">
        <v>2000</v>
      </c>
      <c r="G126" s="227">
        <v>8300</v>
      </c>
      <c r="H126" s="227">
        <v>8300</v>
      </c>
      <c r="I126" s="227">
        <v>3500</v>
      </c>
      <c r="J126" s="242">
        <v>4000</v>
      </c>
      <c r="K126" s="252">
        <v>8300</v>
      </c>
      <c r="L126" s="244">
        <v>500</v>
      </c>
      <c r="M126" s="244">
        <v>8500</v>
      </c>
      <c r="N126" s="245">
        <v>9200</v>
      </c>
      <c r="O126" s="227">
        <v>6000</v>
      </c>
      <c r="P126" s="228">
        <f>10084+916</f>
        <v>11000</v>
      </c>
      <c r="Q126" s="230">
        <v>12504</v>
      </c>
      <c r="R126" s="229">
        <f t="shared" si="17"/>
        <v>74404</v>
      </c>
      <c r="S126" s="226">
        <f t="shared" si="18"/>
        <v>16000</v>
      </c>
      <c r="T126" s="400">
        <f t="shared" si="19"/>
        <v>90404</v>
      </c>
      <c r="U126" s="246">
        <f t="shared" si="24"/>
        <v>0</v>
      </c>
      <c r="V126" s="232">
        <f t="shared" si="25"/>
        <v>0</v>
      </c>
      <c r="W126" s="233">
        <f t="shared" si="20"/>
        <v>0</v>
      </c>
      <c r="X126" s="234">
        <f t="shared" si="22"/>
        <v>-12504</v>
      </c>
      <c r="Y126" s="233">
        <f t="shared" si="21"/>
        <v>-12504</v>
      </c>
      <c r="Z126" s="247">
        <v>122</v>
      </c>
      <c r="AA126" s="236">
        <f t="shared" si="23"/>
        <v>13420</v>
      </c>
      <c r="AB126" s="172"/>
      <c r="AC126" s="172">
        <v>76984</v>
      </c>
      <c r="AD126" s="172">
        <v>0</v>
      </c>
      <c r="AE126" s="172">
        <v>0</v>
      </c>
      <c r="AF126" s="224"/>
      <c r="AG126" s="224"/>
      <c r="AH126" s="224"/>
      <c r="AI126" s="224"/>
      <c r="AJ126" s="179"/>
      <c r="AK126" s="179"/>
      <c r="AL126" s="179"/>
      <c r="AM126" s="179"/>
      <c r="AN126" s="179"/>
      <c r="AO126" s="179"/>
      <c r="AP126" s="179"/>
      <c r="AQ126" s="179"/>
      <c r="AR126" s="181"/>
      <c r="AS126" s="181"/>
      <c r="AT126" s="181"/>
      <c r="AU126" s="181"/>
    </row>
    <row r="127" spans="1:47" s="182" customFormat="1" ht="11.4" thickTop="1" thickBot="1" x14ac:dyDescent="0.25">
      <c r="A127" s="237">
        <v>123</v>
      </c>
      <c r="B127" s="248" t="s">
        <v>71</v>
      </c>
      <c r="C127" s="224">
        <v>0</v>
      </c>
      <c r="D127" s="225">
        <v>0</v>
      </c>
      <c r="E127" s="241">
        <v>8300</v>
      </c>
      <c r="F127" s="227">
        <v>2000</v>
      </c>
      <c r="G127" s="227">
        <v>8300</v>
      </c>
      <c r="H127" s="227">
        <v>8300</v>
      </c>
      <c r="I127" s="227">
        <v>3500</v>
      </c>
      <c r="J127" s="242">
        <v>500</v>
      </c>
      <c r="K127" s="252">
        <v>8300</v>
      </c>
      <c r="L127" s="244">
        <v>300</v>
      </c>
      <c r="M127" s="244">
        <v>8500</v>
      </c>
      <c r="N127" s="245">
        <v>9200</v>
      </c>
      <c r="O127" s="227">
        <v>3000</v>
      </c>
      <c r="P127" s="228">
        <f>5000+6000</f>
        <v>11000</v>
      </c>
      <c r="Q127" s="230">
        <f>3000+5000+5000</f>
        <v>13000</v>
      </c>
      <c r="R127" s="229">
        <f t="shared" si="17"/>
        <v>74900</v>
      </c>
      <c r="S127" s="226">
        <f t="shared" si="18"/>
        <v>9300</v>
      </c>
      <c r="T127" s="400">
        <f t="shared" si="19"/>
        <v>84200</v>
      </c>
      <c r="U127" s="246">
        <f t="shared" si="24"/>
        <v>6700</v>
      </c>
      <c r="V127" s="232">
        <f t="shared" si="25"/>
        <v>0</v>
      </c>
      <c r="W127" s="233">
        <f t="shared" si="20"/>
        <v>6700</v>
      </c>
      <c r="X127" s="234">
        <f t="shared" si="22"/>
        <v>-13000</v>
      </c>
      <c r="Y127" s="233">
        <f t="shared" si="21"/>
        <v>-6300</v>
      </c>
      <c r="Z127" s="247">
        <v>123</v>
      </c>
      <c r="AA127" s="236">
        <f t="shared" si="23"/>
        <v>0</v>
      </c>
      <c r="AB127" s="172"/>
      <c r="AC127" s="172">
        <v>84200</v>
      </c>
      <c r="AD127" s="172">
        <v>0</v>
      </c>
      <c r="AE127" s="172">
        <v>0</v>
      </c>
      <c r="AF127" s="224"/>
      <c r="AG127" s="224"/>
      <c r="AH127" s="224"/>
      <c r="AI127" s="224"/>
      <c r="AJ127" s="179"/>
      <c r="AK127" s="179"/>
      <c r="AL127" s="179"/>
      <c r="AM127" s="179"/>
      <c r="AN127" s="179"/>
      <c r="AO127" s="179"/>
      <c r="AP127" s="179"/>
      <c r="AQ127" s="179"/>
      <c r="AR127" s="181"/>
      <c r="AS127" s="181"/>
      <c r="AT127" s="181"/>
      <c r="AU127" s="181"/>
    </row>
    <row r="128" spans="1:47" s="268" customFormat="1" ht="11.4" thickTop="1" thickBot="1" x14ac:dyDescent="0.25">
      <c r="A128" s="254">
        <v>124</v>
      </c>
      <c r="B128" s="255" t="s">
        <v>72</v>
      </c>
      <c r="C128" s="256">
        <v>0</v>
      </c>
      <c r="D128" s="257">
        <v>0</v>
      </c>
      <c r="E128" s="258">
        <v>8300</v>
      </c>
      <c r="F128" s="259">
        <v>2000</v>
      </c>
      <c r="G128" s="259">
        <v>8300</v>
      </c>
      <c r="H128" s="259">
        <v>8300</v>
      </c>
      <c r="I128" s="259">
        <v>3500</v>
      </c>
      <c r="J128" s="260">
        <v>4000</v>
      </c>
      <c r="K128" s="272">
        <v>8300</v>
      </c>
      <c r="L128" s="267">
        <v>500</v>
      </c>
      <c r="M128" s="260">
        <v>8500</v>
      </c>
      <c r="N128" s="262">
        <f>5540+3660</f>
        <v>9200</v>
      </c>
      <c r="O128" s="259">
        <v>6000</v>
      </c>
      <c r="P128" s="273">
        <f>7335+3665</f>
        <v>11000</v>
      </c>
      <c r="Q128" s="257">
        <v>12500</v>
      </c>
      <c r="R128" s="418">
        <f t="shared" si="17"/>
        <v>74400</v>
      </c>
      <c r="S128" s="369">
        <f t="shared" si="18"/>
        <v>16000</v>
      </c>
      <c r="T128" s="457">
        <f t="shared" si="19"/>
        <v>90400</v>
      </c>
      <c r="U128" s="263">
        <f t="shared" si="24"/>
        <v>0</v>
      </c>
      <c r="V128" s="264">
        <f t="shared" si="25"/>
        <v>0</v>
      </c>
      <c r="W128" s="265">
        <f t="shared" si="20"/>
        <v>0</v>
      </c>
      <c r="X128" s="370">
        <f t="shared" si="22"/>
        <v>-12500</v>
      </c>
      <c r="Y128" s="265">
        <f t="shared" si="21"/>
        <v>-12500</v>
      </c>
      <c r="Z128" s="266">
        <v>124</v>
      </c>
      <c r="AA128" s="259">
        <f t="shared" si="23"/>
        <v>12500</v>
      </c>
      <c r="AB128" s="267"/>
      <c r="AC128" s="267">
        <v>77900</v>
      </c>
      <c r="AD128" s="267">
        <v>0</v>
      </c>
      <c r="AE128" s="267">
        <v>0</v>
      </c>
      <c r="AF128" s="256"/>
      <c r="AG128" s="256"/>
      <c r="AH128" s="256"/>
      <c r="AI128" s="256"/>
      <c r="AJ128" s="371"/>
      <c r="AK128" s="371"/>
      <c r="AL128" s="371"/>
      <c r="AM128" s="371"/>
      <c r="AN128" s="371"/>
      <c r="AO128" s="371"/>
      <c r="AP128" s="371"/>
      <c r="AQ128" s="371"/>
    </row>
    <row r="129" spans="1:47" s="268" customFormat="1" ht="11.4" thickTop="1" thickBot="1" x14ac:dyDescent="0.25">
      <c r="A129" s="254">
        <v>125</v>
      </c>
      <c r="B129" s="255" t="s">
        <v>72</v>
      </c>
      <c r="C129" s="256">
        <v>0</v>
      </c>
      <c r="D129" s="257">
        <v>0</v>
      </c>
      <c r="E129" s="258">
        <v>8300</v>
      </c>
      <c r="F129" s="259">
        <v>2000</v>
      </c>
      <c r="G129" s="259">
        <v>8300</v>
      </c>
      <c r="H129" s="259">
        <v>8300</v>
      </c>
      <c r="I129" s="259">
        <v>3500</v>
      </c>
      <c r="J129" s="260">
        <v>4000</v>
      </c>
      <c r="K129" s="272">
        <v>8300</v>
      </c>
      <c r="L129" s="267">
        <v>500</v>
      </c>
      <c r="M129" s="260">
        <v>8500</v>
      </c>
      <c r="N129" s="262">
        <f>5540+3660</f>
        <v>9200</v>
      </c>
      <c r="O129" s="259">
        <v>6000</v>
      </c>
      <c r="P129" s="273">
        <f>7335+3665</f>
        <v>11000</v>
      </c>
      <c r="Q129" s="257">
        <v>12500</v>
      </c>
      <c r="R129" s="418">
        <f t="shared" si="17"/>
        <v>74400</v>
      </c>
      <c r="S129" s="369">
        <f t="shared" si="18"/>
        <v>16000</v>
      </c>
      <c r="T129" s="457">
        <f t="shared" si="19"/>
        <v>90400</v>
      </c>
      <c r="U129" s="263">
        <f t="shared" si="24"/>
        <v>0</v>
      </c>
      <c r="V129" s="264">
        <f t="shared" si="25"/>
        <v>0</v>
      </c>
      <c r="W129" s="265">
        <f t="shared" si="20"/>
        <v>0</v>
      </c>
      <c r="X129" s="370">
        <f t="shared" si="22"/>
        <v>-12500</v>
      </c>
      <c r="Y129" s="265">
        <f t="shared" si="21"/>
        <v>-12500</v>
      </c>
      <c r="Z129" s="266">
        <v>125</v>
      </c>
      <c r="AA129" s="259">
        <f t="shared" si="23"/>
        <v>12500</v>
      </c>
      <c r="AB129" s="267"/>
      <c r="AC129" s="267">
        <v>77900</v>
      </c>
      <c r="AD129" s="267">
        <v>0</v>
      </c>
      <c r="AE129" s="267">
        <v>0</v>
      </c>
      <c r="AF129" s="256"/>
      <c r="AG129" s="256"/>
      <c r="AH129" s="256"/>
      <c r="AI129" s="256"/>
      <c r="AJ129" s="371"/>
      <c r="AK129" s="371"/>
      <c r="AL129" s="371"/>
      <c r="AM129" s="371"/>
      <c r="AN129" s="371"/>
      <c r="AO129" s="371"/>
      <c r="AP129" s="371"/>
      <c r="AQ129" s="371"/>
    </row>
    <row r="130" spans="1:47" s="182" customFormat="1" ht="11.4" thickTop="1" thickBot="1" x14ac:dyDescent="0.25">
      <c r="A130" s="237">
        <v>126</v>
      </c>
      <c r="B130" s="248" t="s">
        <v>73</v>
      </c>
      <c r="C130" s="224">
        <v>0</v>
      </c>
      <c r="D130" s="225">
        <v>0</v>
      </c>
      <c r="E130" s="241">
        <v>8300</v>
      </c>
      <c r="F130" s="227">
        <v>2000</v>
      </c>
      <c r="G130" s="227">
        <v>8300</v>
      </c>
      <c r="H130" s="227">
        <v>8300</v>
      </c>
      <c r="I130" s="227">
        <v>2700</v>
      </c>
      <c r="J130" s="242"/>
      <c r="K130" s="252">
        <v>8300</v>
      </c>
      <c r="L130" s="244"/>
      <c r="M130" s="244">
        <v>8500</v>
      </c>
      <c r="N130" s="245"/>
      <c r="O130" s="227"/>
      <c r="P130" s="228"/>
      <c r="Q130" s="230"/>
      <c r="R130" s="229">
        <f t="shared" si="17"/>
        <v>41700</v>
      </c>
      <c r="S130" s="226">
        <f t="shared" si="18"/>
        <v>4700</v>
      </c>
      <c r="T130" s="400">
        <f t="shared" si="19"/>
        <v>46400</v>
      </c>
      <c r="U130" s="246">
        <f t="shared" si="24"/>
        <v>11300</v>
      </c>
      <c r="V130" s="232">
        <f t="shared" si="25"/>
        <v>32700</v>
      </c>
      <c r="W130" s="233">
        <f t="shared" si="20"/>
        <v>44000</v>
      </c>
      <c r="X130" s="234">
        <f t="shared" si="22"/>
        <v>20200</v>
      </c>
      <c r="Y130" s="233">
        <f t="shared" si="21"/>
        <v>31500</v>
      </c>
      <c r="Z130" s="247">
        <v>126</v>
      </c>
      <c r="AA130" s="236">
        <f t="shared" si="23"/>
        <v>0</v>
      </c>
      <c r="AB130" s="172"/>
      <c r="AC130" s="172">
        <v>46400</v>
      </c>
      <c r="AD130" s="172">
        <v>0</v>
      </c>
      <c r="AE130" s="172">
        <v>0</v>
      </c>
      <c r="AF130" s="224"/>
      <c r="AG130" s="224"/>
      <c r="AH130" s="224"/>
      <c r="AI130" s="224"/>
      <c r="AJ130" s="179"/>
      <c r="AK130" s="179"/>
      <c r="AL130" s="179"/>
      <c r="AM130" s="179"/>
      <c r="AN130" s="179"/>
      <c r="AO130" s="179"/>
      <c r="AP130" s="179"/>
      <c r="AQ130" s="179"/>
      <c r="AR130" s="181"/>
      <c r="AS130" s="181"/>
      <c r="AT130" s="181"/>
      <c r="AU130" s="181"/>
    </row>
    <row r="131" spans="1:47" s="182" customFormat="1" ht="11.4" thickTop="1" thickBot="1" x14ac:dyDescent="0.25">
      <c r="A131" s="237">
        <v>127</v>
      </c>
      <c r="B131" s="248" t="s">
        <v>234</v>
      </c>
      <c r="C131" s="224">
        <v>0</v>
      </c>
      <c r="D131" s="225">
        <v>0</v>
      </c>
      <c r="E131" s="241">
        <v>8300</v>
      </c>
      <c r="F131" s="227">
        <v>2000</v>
      </c>
      <c r="G131" s="227">
        <v>8300</v>
      </c>
      <c r="H131" s="227">
        <v>8300</v>
      </c>
      <c r="I131" s="227">
        <v>3500</v>
      </c>
      <c r="J131" s="242">
        <v>4000</v>
      </c>
      <c r="K131" s="252">
        <v>8300</v>
      </c>
      <c r="L131" s="244">
        <v>500</v>
      </c>
      <c r="M131" s="244">
        <v>8500</v>
      </c>
      <c r="N131" s="245">
        <v>9200</v>
      </c>
      <c r="O131" s="227">
        <v>6000</v>
      </c>
      <c r="P131" s="228">
        <f>10350+650</f>
        <v>11000</v>
      </c>
      <c r="Q131" s="230">
        <v>12500</v>
      </c>
      <c r="R131" s="229">
        <f t="shared" si="17"/>
        <v>74400</v>
      </c>
      <c r="S131" s="226">
        <f t="shared" si="18"/>
        <v>16000</v>
      </c>
      <c r="T131" s="400">
        <f t="shared" si="19"/>
        <v>90400</v>
      </c>
      <c r="U131" s="246">
        <f t="shared" si="24"/>
        <v>0</v>
      </c>
      <c r="V131" s="232">
        <f t="shared" si="25"/>
        <v>0</v>
      </c>
      <c r="W131" s="233">
        <f t="shared" si="20"/>
        <v>0</v>
      </c>
      <c r="X131" s="234">
        <f t="shared" si="22"/>
        <v>-12500</v>
      </c>
      <c r="Y131" s="233">
        <f t="shared" si="21"/>
        <v>-12500</v>
      </c>
      <c r="Z131" s="247">
        <v>127</v>
      </c>
      <c r="AA131" s="236">
        <f t="shared" si="23"/>
        <v>0</v>
      </c>
      <c r="AB131" s="172"/>
      <c r="AC131" s="172">
        <v>90400</v>
      </c>
      <c r="AD131" s="172">
        <v>0</v>
      </c>
      <c r="AE131" s="172">
        <v>0</v>
      </c>
      <c r="AF131" s="224"/>
      <c r="AG131" s="224"/>
      <c r="AH131" s="224"/>
      <c r="AI131" s="224"/>
      <c r="AJ131" s="179"/>
      <c r="AK131" s="179"/>
      <c r="AL131" s="179"/>
      <c r="AM131" s="179"/>
      <c r="AN131" s="179"/>
      <c r="AO131" s="179"/>
      <c r="AP131" s="179"/>
      <c r="AQ131" s="179"/>
      <c r="AR131" s="181"/>
      <c r="AS131" s="181"/>
      <c r="AT131" s="181"/>
      <c r="AU131" s="181"/>
    </row>
    <row r="132" spans="1:47" s="182" customFormat="1" ht="11.4" thickTop="1" thickBot="1" x14ac:dyDescent="0.25">
      <c r="A132" s="237">
        <v>128</v>
      </c>
      <c r="B132" s="248" t="s">
        <v>137</v>
      </c>
      <c r="C132" s="224">
        <v>0</v>
      </c>
      <c r="D132" s="251">
        <v>0</v>
      </c>
      <c r="E132" s="241">
        <v>8300</v>
      </c>
      <c r="F132" s="227">
        <v>2000</v>
      </c>
      <c r="G132" s="227">
        <v>8300</v>
      </c>
      <c r="H132" s="227">
        <v>8300</v>
      </c>
      <c r="I132" s="227">
        <v>3500</v>
      </c>
      <c r="J132" s="242">
        <v>4000</v>
      </c>
      <c r="K132" s="252">
        <v>8300</v>
      </c>
      <c r="L132" s="244">
        <v>500</v>
      </c>
      <c r="M132" s="244">
        <v>8500</v>
      </c>
      <c r="N132" s="245">
        <v>9200</v>
      </c>
      <c r="O132" s="227">
        <v>6000</v>
      </c>
      <c r="P132" s="228">
        <f>10300+700</f>
        <v>11000</v>
      </c>
      <c r="Q132" s="230">
        <v>12500</v>
      </c>
      <c r="R132" s="229">
        <f t="shared" si="17"/>
        <v>74400</v>
      </c>
      <c r="S132" s="226">
        <f t="shared" si="18"/>
        <v>16000</v>
      </c>
      <c r="T132" s="400">
        <f t="shared" si="19"/>
        <v>90400</v>
      </c>
      <c r="U132" s="246">
        <f t="shared" si="24"/>
        <v>0</v>
      </c>
      <c r="V132" s="232">
        <f t="shared" si="25"/>
        <v>0</v>
      </c>
      <c r="W132" s="233">
        <f t="shared" si="20"/>
        <v>0</v>
      </c>
      <c r="X132" s="234">
        <f t="shared" si="22"/>
        <v>-12500</v>
      </c>
      <c r="Y132" s="233">
        <f t="shared" si="21"/>
        <v>-12500</v>
      </c>
      <c r="Z132" s="247">
        <v>128</v>
      </c>
      <c r="AA132" s="236">
        <f t="shared" si="23"/>
        <v>0</v>
      </c>
      <c r="AB132" s="172"/>
      <c r="AC132" s="172">
        <v>90400</v>
      </c>
      <c r="AD132" s="172">
        <v>0</v>
      </c>
      <c r="AE132" s="172">
        <v>0</v>
      </c>
      <c r="AF132" s="224"/>
      <c r="AG132" s="224"/>
      <c r="AH132" s="224"/>
      <c r="AI132" s="224"/>
      <c r="AJ132" s="179"/>
      <c r="AK132" s="179"/>
      <c r="AL132" s="179"/>
      <c r="AM132" s="179"/>
      <c r="AN132" s="179"/>
      <c r="AO132" s="179"/>
      <c r="AP132" s="179"/>
      <c r="AQ132" s="179"/>
      <c r="AR132" s="181"/>
      <c r="AS132" s="181"/>
      <c r="AT132" s="181"/>
      <c r="AU132" s="181"/>
    </row>
    <row r="133" spans="1:47" s="182" customFormat="1" ht="11.4" thickTop="1" thickBot="1" x14ac:dyDescent="0.25">
      <c r="A133" s="237">
        <v>129</v>
      </c>
      <c r="B133" s="248" t="s">
        <v>136</v>
      </c>
      <c r="C133" s="224">
        <v>0</v>
      </c>
      <c r="D133" s="225">
        <v>0</v>
      </c>
      <c r="E133" s="241">
        <v>8300</v>
      </c>
      <c r="F133" s="227">
        <v>2000</v>
      </c>
      <c r="G133" s="227">
        <v>8300</v>
      </c>
      <c r="H133" s="227">
        <v>8300</v>
      </c>
      <c r="I133" s="227">
        <v>3500</v>
      </c>
      <c r="J133" s="242">
        <v>4000</v>
      </c>
      <c r="K133" s="252">
        <v>8300</v>
      </c>
      <c r="L133" s="244">
        <v>500</v>
      </c>
      <c r="M133" s="244">
        <v>8500</v>
      </c>
      <c r="N133" s="245">
        <v>9200</v>
      </c>
      <c r="O133" s="227">
        <v>6000</v>
      </c>
      <c r="P133" s="228">
        <f>10300+700</f>
        <v>11000</v>
      </c>
      <c r="Q133" s="230">
        <v>12500</v>
      </c>
      <c r="R133" s="229">
        <f t="shared" si="17"/>
        <v>74400</v>
      </c>
      <c r="S133" s="226">
        <f t="shared" si="18"/>
        <v>16000</v>
      </c>
      <c r="T133" s="400">
        <f t="shared" si="19"/>
        <v>90400</v>
      </c>
      <c r="U133" s="246">
        <f t="shared" si="24"/>
        <v>0</v>
      </c>
      <c r="V133" s="232">
        <f t="shared" si="25"/>
        <v>0</v>
      </c>
      <c r="W133" s="233">
        <f t="shared" si="20"/>
        <v>0</v>
      </c>
      <c r="X133" s="234">
        <f t="shared" si="22"/>
        <v>-12500</v>
      </c>
      <c r="Y133" s="233">
        <f t="shared" si="21"/>
        <v>-12500</v>
      </c>
      <c r="Z133" s="247">
        <v>129</v>
      </c>
      <c r="AA133" s="236">
        <f t="shared" si="23"/>
        <v>0</v>
      </c>
      <c r="AB133" s="172"/>
      <c r="AC133" s="172">
        <v>90400</v>
      </c>
      <c r="AD133" s="172">
        <v>0</v>
      </c>
      <c r="AE133" s="172">
        <v>0</v>
      </c>
      <c r="AF133" s="224"/>
      <c r="AG133" s="224"/>
      <c r="AH133" s="224"/>
      <c r="AI133" s="224"/>
      <c r="AJ133" s="179"/>
      <c r="AK133" s="179"/>
      <c r="AL133" s="179"/>
      <c r="AM133" s="179"/>
      <c r="AN133" s="179"/>
      <c r="AO133" s="179"/>
      <c r="AP133" s="179"/>
      <c r="AQ133" s="179"/>
      <c r="AR133" s="181"/>
      <c r="AS133" s="181"/>
      <c r="AT133" s="181"/>
      <c r="AU133" s="181"/>
    </row>
    <row r="134" spans="1:47" s="181" customFormat="1" ht="11.4" thickTop="1" thickBot="1" x14ac:dyDescent="0.25">
      <c r="A134" s="278">
        <v>130</v>
      </c>
      <c r="B134" s="238" t="s">
        <v>74</v>
      </c>
      <c r="C134" s="275">
        <v>0</v>
      </c>
      <c r="D134" s="225">
        <v>0</v>
      </c>
      <c r="E134" s="276">
        <v>8300</v>
      </c>
      <c r="F134" s="236">
        <v>2000</v>
      </c>
      <c r="G134" s="236">
        <v>8300</v>
      </c>
      <c r="H134" s="236">
        <v>8300</v>
      </c>
      <c r="I134" s="236">
        <v>3500</v>
      </c>
      <c r="J134" s="242">
        <v>4000</v>
      </c>
      <c r="K134" s="279">
        <v>8300</v>
      </c>
      <c r="L134" s="242">
        <v>500</v>
      </c>
      <c r="M134" s="242">
        <v>8500</v>
      </c>
      <c r="N134" s="270">
        <v>9200</v>
      </c>
      <c r="O134" s="227">
        <v>6000</v>
      </c>
      <c r="P134" s="228">
        <f>8250+1834+916</f>
        <v>11000</v>
      </c>
      <c r="Q134" s="230">
        <f>2750+2459+3125+1041+1042+1042</f>
        <v>11459</v>
      </c>
      <c r="R134" s="229">
        <f t="shared" ref="R134:R168" si="26">SUM(E134,G134,H134,K134,M134,N134,P134,Q134)</f>
        <v>73359</v>
      </c>
      <c r="S134" s="226">
        <f t="shared" si="18"/>
        <v>16000</v>
      </c>
      <c r="T134" s="400">
        <f t="shared" si="19"/>
        <v>89359</v>
      </c>
      <c r="U134" s="246">
        <f t="shared" ref="U134:U168" si="27">S$173-S134+C134</f>
        <v>0</v>
      </c>
      <c r="V134" s="232">
        <f t="shared" ref="V134:V168" si="28">IF(V$173-R134+D134&gt;0,ROUNDUP(V$173-R134+D134,0),0)</f>
        <v>1041</v>
      </c>
      <c r="W134" s="233">
        <f t="shared" si="20"/>
        <v>1041</v>
      </c>
      <c r="X134" s="234">
        <f t="shared" ref="X134:X168" si="29">SUM(E$4,G$4,H$4,K$4,M$4,N$4,P$4)+D134-R134</f>
        <v>-11459</v>
      </c>
      <c r="Y134" s="233">
        <f t="shared" si="21"/>
        <v>-11459</v>
      </c>
      <c r="Z134" s="280">
        <v>130</v>
      </c>
      <c r="AA134" s="236">
        <f t="shared" ref="AA134:AA168" si="30">T134-AC134-SUM(C134:D134)+SUM(AD134:AE134)</f>
        <v>1042</v>
      </c>
      <c r="AB134" s="172"/>
      <c r="AC134" s="172">
        <v>88317</v>
      </c>
      <c r="AD134" s="172">
        <v>0</v>
      </c>
      <c r="AE134" s="172">
        <v>0</v>
      </c>
      <c r="AF134" s="224"/>
      <c r="AG134" s="224"/>
      <c r="AH134" s="224"/>
      <c r="AI134" s="224"/>
      <c r="AJ134" s="179"/>
      <c r="AK134" s="179"/>
      <c r="AL134" s="179"/>
      <c r="AM134" s="179"/>
      <c r="AN134" s="179"/>
      <c r="AO134" s="179"/>
      <c r="AP134" s="179"/>
      <c r="AQ134" s="179"/>
    </row>
    <row r="135" spans="1:47" s="181" customFormat="1" ht="11.4" thickTop="1" thickBot="1" x14ac:dyDescent="0.25">
      <c r="A135" s="278">
        <v>131</v>
      </c>
      <c r="B135" s="238" t="s">
        <v>254</v>
      </c>
      <c r="C135" s="275">
        <v>0</v>
      </c>
      <c r="D135" s="225">
        <v>0</v>
      </c>
      <c r="E135" s="276">
        <v>8300</v>
      </c>
      <c r="F135" s="236">
        <v>2000</v>
      </c>
      <c r="G135" s="236">
        <v>8300</v>
      </c>
      <c r="H135" s="236">
        <v>8300</v>
      </c>
      <c r="I135" s="236">
        <v>3500</v>
      </c>
      <c r="J135" s="242">
        <v>4000</v>
      </c>
      <c r="K135" s="279">
        <v>8300</v>
      </c>
      <c r="L135" s="242">
        <v>500</v>
      </c>
      <c r="M135" s="242">
        <v>8500</v>
      </c>
      <c r="N135" s="270">
        <v>9200</v>
      </c>
      <c r="O135" s="236">
        <v>6000</v>
      </c>
      <c r="P135" s="274">
        <f>960+10040</f>
        <v>11000</v>
      </c>
      <c r="Q135" s="225">
        <v>917</v>
      </c>
      <c r="R135" s="229">
        <f t="shared" si="26"/>
        <v>62817</v>
      </c>
      <c r="S135" s="226">
        <f t="shared" ref="S135:S168" si="31">SUM(F135,I135,J135,L135,O135)</f>
        <v>16000</v>
      </c>
      <c r="T135" s="400">
        <f t="shared" ref="T135:T168" si="32">SUM(E135:Q135)</f>
        <v>78817</v>
      </c>
      <c r="U135" s="246">
        <f t="shared" si="27"/>
        <v>0</v>
      </c>
      <c r="V135" s="232">
        <f t="shared" si="28"/>
        <v>11583</v>
      </c>
      <c r="W135" s="233">
        <f t="shared" ref="W135:W168" si="33">IF((U135+V135)&lt;=0,0,U135+V135)</f>
        <v>11583</v>
      </c>
      <c r="X135" s="234">
        <f t="shared" si="29"/>
        <v>-917</v>
      </c>
      <c r="Y135" s="233">
        <f t="shared" ref="Y135:Y168" si="34">U135+X135</f>
        <v>-917</v>
      </c>
      <c r="Z135" s="280">
        <v>131</v>
      </c>
      <c r="AA135" s="236">
        <f t="shared" si="30"/>
        <v>0</v>
      </c>
      <c r="AB135" s="172"/>
      <c r="AC135" s="172">
        <v>78817</v>
      </c>
      <c r="AD135" s="172">
        <v>0</v>
      </c>
      <c r="AE135" s="172">
        <v>0</v>
      </c>
      <c r="AF135" s="224"/>
      <c r="AG135" s="224"/>
      <c r="AH135" s="224"/>
      <c r="AI135" s="224"/>
      <c r="AJ135" s="179"/>
      <c r="AK135" s="179"/>
      <c r="AL135" s="179"/>
      <c r="AM135" s="179"/>
      <c r="AN135" s="179"/>
      <c r="AO135" s="179"/>
      <c r="AP135" s="179"/>
      <c r="AQ135" s="179"/>
    </row>
    <row r="136" spans="1:47" s="182" customFormat="1" ht="11.4" thickTop="1" thickBot="1" x14ac:dyDescent="0.25">
      <c r="A136" s="237">
        <v>132</v>
      </c>
      <c r="B136" s="248" t="s">
        <v>234</v>
      </c>
      <c r="C136" s="224">
        <v>0</v>
      </c>
      <c r="D136" s="225">
        <v>0</v>
      </c>
      <c r="E136" s="241">
        <v>8300</v>
      </c>
      <c r="F136" s="227">
        <v>2000</v>
      </c>
      <c r="G136" s="227">
        <v>8300</v>
      </c>
      <c r="H136" s="227">
        <v>8300</v>
      </c>
      <c r="I136" s="227">
        <v>3500</v>
      </c>
      <c r="J136" s="242">
        <v>4000</v>
      </c>
      <c r="K136" s="252">
        <v>8300</v>
      </c>
      <c r="L136" s="244">
        <v>500</v>
      </c>
      <c r="M136" s="244">
        <v>8500</v>
      </c>
      <c r="N136" s="245">
        <v>9200</v>
      </c>
      <c r="O136" s="227">
        <v>6000</v>
      </c>
      <c r="P136" s="228">
        <v>11000</v>
      </c>
      <c r="Q136" s="230">
        <v>12500</v>
      </c>
      <c r="R136" s="229">
        <f t="shared" si="26"/>
        <v>74400</v>
      </c>
      <c r="S136" s="226">
        <f t="shared" si="31"/>
        <v>16000</v>
      </c>
      <c r="T136" s="400">
        <f t="shared" si="32"/>
        <v>90400</v>
      </c>
      <c r="U136" s="246">
        <f t="shared" si="27"/>
        <v>0</v>
      </c>
      <c r="V136" s="232">
        <f t="shared" si="28"/>
        <v>0</v>
      </c>
      <c r="W136" s="233">
        <f t="shared" si="33"/>
        <v>0</v>
      </c>
      <c r="X136" s="234">
        <f t="shared" si="29"/>
        <v>-12500</v>
      </c>
      <c r="Y136" s="233">
        <f t="shared" si="34"/>
        <v>-12500</v>
      </c>
      <c r="Z136" s="247">
        <v>132</v>
      </c>
      <c r="AA136" s="236">
        <f t="shared" si="30"/>
        <v>0</v>
      </c>
      <c r="AB136" s="172"/>
      <c r="AC136" s="172">
        <v>90400</v>
      </c>
      <c r="AD136" s="172">
        <v>0</v>
      </c>
      <c r="AE136" s="172">
        <v>0</v>
      </c>
      <c r="AF136" s="224"/>
      <c r="AG136" s="224"/>
      <c r="AH136" s="224"/>
      <c r="AI136" s="224"/>
      <c r="AJ136" s="179"/>
      <c r="AK136" s="179"/>
      <c r="AL136" s="179"/>
      <c r="AM136" s="179"/>
      <c r="AN136" s="179"/>
      <c r="AO136" s="179"/>
      <c r="AP136" s="179"/>
      <c r="AQ136" s="179"/>
      <c r="AR136" s="181"/>
      <c r="AS136" s="181"/>
      <c r="AT136" s="181"/>
      <c r="AU136" s="181"/>
    </row>
    <row r="137" spans="1:47" s="182" customFormat="1" ht="11.4" thickTop="1" thickBot="1" x14ac:dyDescent="0.25">
      <c r="A137" s="237">
        <v>133</v>
      </c>
      <c r="B137" s="248" t="s">
        <v>553</v>
      </c>
      <c r="C137" s="224">
        <v>0</v>
      </c>
      <c r="D137" s="225">
        <v>0</v>
      </c>
      <c r="E137" s="241">
        <v>8300</v>
      </c>
      <c r="F137" s="227">
        <v>2000</v>
      </c>
      <c r="G137" s="227">
        <v>8300</v>
      </c>
      <c r="H137" s="227">
        <v>8300</v>
      </c>
      <c r="I137" s="227">
        <v>3500</v>
      </c>
      <c r="J137" s="242">
        <f>500+3500</f>
        <v>4000</v>
      </c>
      <c r="K137" s="252">
        <v>8300</v>
      </c>
      <c r="L137" s="244">
        <v>500</v>
      </c>
      <c r="M137" s="244">
        <v>8500</v>
      </c>
      <c r="N137" s="245">
        <f>4460+4740</f>
        <v>9200</v>
      </c>
      <c r="O137" s="227">
        <v>6000</v>
      </c>
      <c r="P137" s="228">
        <f>5560+5440</f>
        <v>11000</v>
      </c>
      <c r="Q137" s="230">
        <f>6250+6250</f>
        <v>12500</v>
      </c>
      <c r="R137" s="229">
        <f t="shared" si="26"/>
        <v>74400</v>
      </c>
      <c r="S137" s="226">
        <f t="shared" si="31"/>
        <v>16000</v>
      </c>
      <c r="T137" s="400">
        <f t="shared" si="32"/>
        <v>90400</v>
      </c>
      <c r="U137" s="246">
        <f t="shared" si="27"/>
        <v>0</v>
      </c>
      <c r="V137" s="232">
        <f t="shared" si="28"/>
        <v>0</v>
      </c>
      <c r="W137" s="233">
        <f t="shared" si="33"/>
        <v>0</v>
      </c>
      <c r="X137" s="234">
        <f t="shared" si="29"/>
        <v>-12500</v>
      </c>
      <c r="Y137" s="233">
        <f t="shared" si="34"/>
        <v>-12500</v>
      </c>
      <c r="Z137" s="247">
        <v>133</v>
      </c>
      <c r="AA137" s="236">
        <f t="shared" si="30"/>
        <v>6250</v>
      </c>
      <c r="AB137" s="172"/>
      <c r="AC137" s="172">
        <v>84150</v>
      </c>
      <c r="AD137" s="172">
        <v>0</v>
      </c>
      <c r="AE137" s="172">
        <v>0</v>
      </c>
      <c r="AF137" s="224"/>
      <c r="AG137" s="224"/>
      <c r="AH137" s="224"/>
      <c r="AI137" s="224"/>
      <c r="AJ137" s="179"/>
      <c r="AK137" s="179"/>
      <c r="AL137" s="179"/>
      <c r="AM137" s="179"/>
      <c r="AN137" s="179"/>
      <c r="AO137" s="179"/>
      <c r="AP137" s="179"/>
      <c r="AQ137" s="179"/>
      <c r="AR137" s="181"/>
      <c r="AS137" s="181"/>
      <c r="AT137" s="181"/>
      <c r="AU137" s="181"/>
    </row>
    <row r="138" spans="1:47" s="182" customFormat="1" ht="11.4" thickTop="1" thickBot="1" x14ac:dyDescent="0.25">
      <c r="A138" s="237">
        <v>134</v>
      </c>
      <c r="B138" s="248" t="s">
        <v>139</v>
      </c>
      <c r="C138" s="224">
        <v>0</v>
      </c>
      <c r="D138" s="225">
        <v>0</v>
      </c>
      <c r="E138" s="241">
        <v>8300</v>
      </c>
      <c r="F138" s="227">
        <v>2000</v>
      </c>
      <c r="G138" s="227">
        <v>8300</v>
      </c>
      <c r="H138" s="227">
        <v>8300</v>
      </c>
      <c r="I138" s="227"/>
      <c r="J138" s="242">
        <v>500</v>
      </c>
      <c r="K138" s="252">
        <v>8300</v>
      </c>
      <c r="L138" s="244">
        <v>300</v>
      </c>
      <c r="M138" s="244">
        <v>8500</v>
      </c>
      <c r="N138" s="245">
        <v>9200</v>
      </c>
      <c r="O138" s="227"/>
      <c r="P138" s="228">
        <f>5000+6000</f>
        <v>11000</v>
      </c>
      <c r="Q138" s="230">
        <v>11000</v>
      </c>
      <c r="R138" s="229">
        <f t="shared" si="26"/>
        <v>72900</v>
      </c>
      <c r="S138" s="226">
        <f t="shared" si="31"/>
        <v>2800</v>
      </c>
      <c r="T138" s="400">
        <f t="shared" si="32"/>
        <v>75700</v>
      </c>
      <c r="U138" s="246">
        <f t="shared" si="27"/>
        <v>13200</v>
      </c>
      <c r="V138" s="232">
        <f t="shared" si="28"/>
        <v>1500</v>
      </c>
      <c r="W138" s="233">
        <f t="shared" si="33"/>
        <v>14700</v>
      </c>
      <c r="X138" s="234">
        <f t="shared" si="29"/>
        <v>-11000</v>
      </c>
      <c r="Y138" s="233">
        <f t="shared" si="34"/>
        <v>2200</v>
      </c>
      <c r="Z138" s="247">
        <v>134</v>
      </c>
      <c r="AA138" s="236">
        <f t="shared" si="30"/>
        <v>0</v>
      </c>
      <c r="AB138" s="172"/>
      <c r="AC138" s="172">
        <v>75700</v>
      </c>
      <c r="AD138" s="172">
        <v>0</v>
      </c>
      <c r="AE138" s="172">
        <v>0</v>
      </c>
      <c r="AF138" s="224"/>
      <c r="AG138" s="224"/>
      <c r="AH138" s="224"/>
      <c r="AI138" s="224"/>
      <c r="AJ138" s="179"/>
      <c r="AK138" s="179"/>
      <c r="AL138" s="179"/>
      <c r="AM138" s="179"/>
      <c r="AN138" s="179"/>
      <c r="AO138" s="179"/>
      <c r="AP138" s="179"/>
      <c r="AQ138" s="179"/>
      <c r="AR138" s="181"/>
      <c r="AS138" s="181"/>
      <c r="AT138" s="181"/>
      <c r="AU138" s="181"/>
    </row>
    <row r="139" spans="1:47" s="182" customFormat="1" ht="11.4" thickTop="1" thickBot="1" x14ac:dyDescent="0.25">
      <c r="A139" s="237">
        <v>135</v>
      </c>
      <c r="B139" s="248" t="s">
        <v>127</v>
      </c>
      <c r="C139" s="224">
        <v>0</v>
      </c>
      <c r="D139" s="225">
        <v>0</v>
      </c>
      <c r="E139" s="241">
        <v>8300</v>
      </c>
      <c r="F139" s="227">
        <v>2000</v>
      </c>
      <c r="G139" s="227">
        <v>8300</v>
      </c>
      <c r="H139" s="227">
        <v>8300</v>
      </c>
      <c r="I139" s="227">
        <v>3500</v>
      </c>
      <c r="J139" s="242"/>
      <c r="K139" s="252">
        <v>8300</v>
      </c>
      <c r="L139" s="244"/>
      <c r="M139" s="244">
        <v>8500</v>
      </c>
      <c r="N139" s="245">
        <v>9200</v>
      </c>
      <c r="O139" s="227">
        <v>6000</v>
      </c>
      <c r="P139" s="228">
        <v>11000</v>
      </c>
      <c r="Q139" s="230">
        <v>101</v>
      </c>
      <c r="R139" s="229">
        <f t="shared" si="26"/>
        <v>62001</v>
      </c>
      <c r="S139" s="226">
        <f t="shared" si="31"/>
        <v>11500</v>
      </c>
      <c r="T139" s="400">
        <f t="shared" si="32"/>
        <v>73501</v>
      </c>
      <c r="U139" s="246">
        <f t="shared" si="27"/>
        <v>4500</v>
      </c>
      <c r="V139" s="232">
        <f t="shared" si="28"/>
        <v>12399</v>
      </c>
      <c r="W139" s="233">
        <f t="shared" si="33"/>
        <v>16899</v>
      </c>
      <c r="X139" s="234">
        <f t="shared" si="29"/>
        <v>-101</v>
      </c>
      <c r="Y139" s="233">
        <f t="shared" si="34"/>
        <v>4399</v>
      </c>
      <c r="Z139" s="247">
        <v>135</v>
      </c>
      <c r="AA139" s="236">
        <f t="shared" si="30"/>
        <v>0</v>
      </c>
      <c r="AB139" s="172"/>
      <c r="AC139" s="172">
        <v>73501</v>
      </c>
      <c r="AD139" s="172">
        <v>0</v>
      </c>
      <c r="AE139" s="172">
        <v>0</v>
      </c>
      <c r="AF139" s="224"/>
      <c r="AG139" s="224">
        <v>2058</v>
      </c>
      <c r="AH139" s="224"/>
      <c r="AI139" s="224"/>
      <c r="AJ139" s="179"/>
      <c r="AK139" s="179"/>
      <c r="AL139" s="179"/>
      <c r="AM139" s="179"/>
      <c r="AN139" s="179"/>
      <c r="AO139" s="179"/>
      <c r="AP139" s="179"/>
      <c r="AQ139" s="179"/>
      <c r="AR139" s="181"/>
      <c r="AS139" s="181"/>
      <c r="AT139" s="181"/>
      <c r="AU139" s="181"/>
    </row>
    <row r="140" spans="1:47" s="268" customFormat="1" ht="11.4" thickTop="1" thickBot="1" x14ac:dyDescent="0.25">
      <c r="A140" s="254">
        <v>136</v>
      </c>
      <c r="B140" s="255" t="s">
        <v>75</v>
      </c>
      <c r="C140" s="256">
        <v>0</v>
      </c>
      <c r="D140" s="257">
        <v>0</v>
      </c>
      <c r="E140" s="258">
        <v>8300</v>
      </c>
      <c r="F140" s="259">
        <v>2000</v>
      </c>
      <c r="G140" s="259">
        <v>8300</v>
      </c>
      <c r="H140" s="259">
        <v>8300</v>
      </c>
      <c r="I140" s="259">
        <v>3500</v>
      </c>
      <c r="J140" s="260">
        <v>4000</v>
      </c>
      <c r="K140" s="272">
        <v>8300</v>
      </c>
      <c r="L140" s="260">
        <v>500</v>
      </c>
      <c r="M140" s="260">
        <v>8500</v>
      </c>
      <c r="N140" s="262">
        <v>9200</v>
      </c>
      <c r="O140" s="259">
        <v>6000</v>
      </c>
      <c r="P140" s="273">
        <f>6000+5000</f>
        <v>11000</v>
      </c>
      <c r="Q140" s="257">
        <f>6000+6500+6000</f>
        <v>18500</v>
      </c>
      <c r="R140" s="418">
        <f t="shared" si="26"/>
        <v>80400</v>
      </c>
      <c r="S140" s="369">
        <f t="shared" si="31"/>
        <v>16000</v>
      </c>
      <c r="T140" s="457">
        <f t="shared" si="32"/>
        <v>96400</v>
      </c>
      <c r="U140" s="263">
        <f t="shared" si="27"/>
        <v>0</v>
      </c>
      <c r="V140" s="264">
        <f t="shared" si="28"/>
        <v>0</v>
      </c>
      <c r="W140" s="265">
        <f t="shared" si="33"/>
        <v>0</v>
      </c>
      <c r="X140" s="370">
        <f t="shared" si="29"/>
        <v>-18500</v>
      </c>
      <c r="Y140" s="265">
        <f t="shared" si="34"/>
        <v>-18500</v>
      </c>
      <c r="Z140" s="266">
        <v>136</v>
      </c>
      <c r="AA140" s="259">
        <f t="shared" si="30"/>
        <v>6000</v>
      </c>
      <c r="AB140" s="267"/>
      <c r="AC140" s="267">
        <v>90400</v>
      </c>
      <c r="AD140" s="267">
        <v>0</v>
      </c>
      <c r="AE140" s="267">
        <v>0</v>
      </c>
      <c r="AF140" s="256"/>
      <c r="AG140" s="256"/>
      <c r="AH140" s="256"/>
      <c r="AI140" s="256"/>
      <c r="AJ140" s="371"/>
      <c r="AK140" s="371"/>
      <c r="AL140" s="371"/>
      <c r="AM140" s="371"/>
      <c r="AN140" s="371"/>
      <c r="AO140" s="371"/>
      <c r="AP140" s="371"/>
      <c r="AQ140" s="371"/>
    </row>
    <row r="141" spans="1:47" s="268" customFormat="1" ht="11.4" thickTop="1" thickBot="1" x14ac:dyDescent="0.25">
      <c r="A141" s="254">
        <v>137</v>
      </c>
      <c r="B141" s="255" t="s">
        <v>75</v>
      </c>
      <c r="C141" s="256">
        <v>0</v>
      </c>
      <c r="D141" s="257">
        <v>0</v>
      </c>
      <c r="E141" s="258">
        <v>8300</v>
      </c>
      <c r="F141" s="259">
        <v>2000</v>
      </c>
      <c r="G141" s="259">
        <v>8300</v>
      </c>
      <c r="H141" s="259">
        <v>8300</v>
      </c>
      <c r="I141" s="259">
        <v>3500</v>
      </c>
      <c r="J141" s="260">
        <v>4000</v>
      </c>
      <c r="K141" s="272">
        <v>8300</v>
      </c>
      <c r="L141" s="260">
        <v>500</v>
      </c>
      <c r="M141" s="260">
        <v>8500</v>
      </c>
      <c r="N141" s="262">
        <v>9200</v>
      </c>
      <c r="O141" s="259">
        <v>6000</v>
      </c>
      <c r="P141" s="273">
        <f>6000+5000</f>
        <v>11000</v>
      </c>
      <c r="Q141" s="257">
        <f>6000+6500+6000</f>
        <v>18500</v>
      </c>
      <c r="R141" s="418">
        <f t="shared" si="26"/>
        <v>80400</v>
      </c>
      <c r="S141" s="369">
        <f t="shared" si="31"/>
        <v>16000</v>
      </c>
      <c r="T141" s="457">
        <f t="shared" si="32"/>
        <v>96400</v>
      </c>
      <c r="U141" s="263">
        <f t="shared" si="27"/>
        <v>0</v>
      </c>
      <c r="V141" s="264">
        <f t="shared" si="28"/>
        <v>0</v>
      </c>
      <c r="W141" s="265">
        <f t="shared" si="33"/>
        <v>0</v>
      </c>
      <c r="X141" s="370">
        <f t="shared" si="29"/>
        <v>-18500</v>
      </c>
      <c r="Y141" s="265">
        <f t="shared" si="34"/>
        <v>-18500</v>
      </c>
      <c r="Z141" s="266">
        <v>137</v>
      </c>
      <c r="AA141" s="259">
        <f t="shared" si="30"/>
        <v>6000</v>
      </c>
      <c r="AB141" s="267"/>
      <c r="AC141" s="267">
        <v>90400</v>
      </c>
      <c r="AD141" s="267">
        <v>0</v>
      </c>
      <c r="AE141" s="267">
        <v>0</v>
      </c>
      <c r="AF141" s="256"/>
      <c r="AG141" s="256"/>
      <c r="AH141" s="256"/>
      <c r="AI141" s="256"/>
      <c r="AJ141" s="371"/>
      <c r="AK141" s="371"/>
      <c r="AL141" s="371"/>
      <c r="AM141" s="371"/>
      <c r="AN141" s="371"/>
      <c r="AO141" s="371"/>
      <c r="AP141" s="371"/>
      <c r="AQ141" s="371"/>
    </row>
    <row r="142" spans="1:47" s="268" customFormat="1" ht="11.4" thickTop="1" thickBot="1" x14ac:dyDescent="0.25">
      <c r="A142" s="254">
        <v>138</v>
      </c>
      <c r="B142" s="255" t="s">
        <v>75</v>
      </c>
      <c r="C142" s="256">
        <v>0</v>
      </c>
      <c r="D142" s="281">
        <v>0</v>
      </c>
      <c r="E142" s="258">
        <v>8300</v>
      </c>
      <c r="F142" s="259">
        <v>2000</v>
      </c>
      <c r="G142" s="259">
        <v>8300</v>
      </c>
      <c r="H142" s="259">
        <v>8300</v>
      </c>
      <c r="I142" s="259">
        <v>3500</v>
      </c>
      <c r="J142" s="260">
        <v>4000</v>
      </c>
      <c r="K142" s="272">
        <v>8300</v>
      </c>
      <c r="L142" s="260">
        <v>500</v>
      </c>
      <c r="M142" s="260">
        <v>8500</v>
      </c>
      <c r="N142" s="262">
        <v>9200</v>
      </c>
      <c r="O142" s="259">
        <v>6000</v>
      </c>
      <c r="P142" s="273">
        <f>6000+5000</f>
        <v>11000</v>
      </c>
      <c r="Q142" s="257">
        <f>6000+6500+6000</f>
        <v>18500</v>
      </c>
      <c r="R142" s="418">
        <f t="shared" si="26"/>
        <v>80400</v>
      </c>
      <c r="S142" s="369">
        <f t="shared" si="31"/>
        <v>16000</v>
      </c>
      <c r="T142" s="457">
        <f t="shared" si="32"/>
        <v>96400</v>
      </c>
      <c r="U142" s="263">
        <f t="shared" si="27"/>
        <v>0</v>
      </c>
      <c r="V142" s="264">
        <f t="shared" si="28"/>
        <v>0</v>
      </c>
      <c r="W142" s="265">
        <f t="shared" si="33"/>
        <v>0</v>
      </c>
      <c r="X142" s="370">
        <f t="shared" si="29"/>
        <v>-18500</v>
      </c>
      <c r="Y142" s="265">
        <f t="shared" si="34"/>
        <v>-18500</v>
      </c>
      <c r="Z142" s="266">
        <v>138</v>
      </c>
      <c r="AA142" s="259">
        <f t="shared" si="30"/>
        <v>6000</v>
      </c>
      <c r="AB142" s="267"/>
      <c r="AC142" s="267">
        <v>90400</v>
      </c>
      <c r="AD142" s="267">
        <v>0</v>
      </c>
      <c r="AE142" s="267">
        <v>0</v>
      </c>
      <c r="AF142" s="256"/>
      <c r="AG142" s="256"/>
      <c r="AH142" s="256"/>
      <c r="AI142" s="256"/>
      <c r="AJ142" s="371"/>
      <c r="AK142" s="371"/>
      <c r="AL142" s="371"/>
      <c r="AM142" s="371"/>
      <c r="AN142" s="371"/>
      <c r="AO142" s="371"/>
      <c r="AP142" s="371"/>
      <c r="AQ142" s="371"/>
    </row>
    <row r="143" spans="1:47" s="182" customFormat="1" ht="11.4" thickTop="1" thickBot="1" x14ac:dyDescent="0.25">
      <c r="A143" s="237">
        <v>139</v>
      </c>
      <c r="B143" s="248" t="s">
        <v>76</v>
      </c>
      <c r="C143" s="224">
        <v>0</v>
      </c>
      <c r="D143" s="225">
        <v>0</v>
      </c>
      <c r="E143" s="241">
        <v>8300</v>
      </c>
      <c r="F143" s="227">
        <v>2000</v>
      </c>
      <c r="G143" s="227">
        <v>8300</v>
      </c>
      <c r="H143" s="227">
        <v>8300</v>
      </c>
      <c r="I143" s="227">
        <v>3500</v>
      </c>
      <c r="J143" s="242">
        <v>4000</v>
      </c>
      <c r="K143" s="252">
        <v>8300</v>
      </c>
      <c r="L143" s="244">
        <v>500</v>
      </c>
      <c r="M143" s="244">
        <v>8500</v>
      </c>
      <c r="N143" s="245">
        <f>8500+700</f>
        <v>9200</v>
      </c>
      <c r="O143" s="227">
        <v>6000</v>
      </c>
      <c r="P143" s="228">
        <v>11000</v>
      </c>
      <c r="Q143" s="230">
        <v>12500</v>
      </c>
      <c r="R143" s="229">
        <f t="shared" si="26"/>
        <v>74400</v>
      </c>
      <c r="S143" s="226">
        <f t="shared" si="31"/>
        <v>16000</v>
      </c>
      <c r="T143" s="400">
        <f t="shared" si="32"/>
        <v>90400</v>
      </c>
      <c r="U143" s="246">
        <f t="shared" si="27"/>
        <v>0</v>
      </c>
      <c r="V143" s="232">
        <f t="shared" si="28"/>
        <v>0</v>
      </c>
      <c r="W143" s="233">
        <f t="shared" si="33"/>
        <v>0</v>
      </c>
      <c r="X143" s="234">
        <f t="shared" si="29"/>
        <v>-12500</v>
      </c>
      <c r="Y143" s="233">
        <f t="shared" si="34"/>
        <v>-12500</v>
      </c>
      <c r="Z143" s="247">
        <v>139</v>
      </c>
      <c r="AA143" s="236">
        <f t="shared" si="30"/>
        <v>12500</v>
      </c>
      <c r="AB143" s="172"/>
      <c r="AC143" s="172">
        <v>77900</v>
      </c>
      <c r="AD143" s="172">
        <v>0</v>
      </c>
      <c r="AE143" s="172">
        <v>0</v>
      </c>
      <c r="AF143" s="224"/>
      <c r="AG143" s="224"/>
      <c r="AH143" s="224"/>
      <c r="AI143" s="224"/>
      <c r="AJ143" s="179"/>
      <c r="AK143" s="179"/>
      <c r="AL143" s="179"/>
      <c r="AM143" s="179"/>
      <c r="AN143" s="179"/>
      <c r="AO143" s="179"/>
      <c r="AP143" s="179"/>
      <c r="AQ143" s="179"/>
      <c r="AR143" s="181"/>
      <c r="AS143" s="181"/>
      <c r="AT143" s="181"/>
      <c r="AU143" s="181"/>
    </row>
    <row r="144" spans="1:47" s="182" customFormat="1" ht="11.4" thickTop="1" thickBot="1" x14ac:dyDescent="0.25">
      <c r="A144" s="237">
        <v>140</v>
      </c>
      <c r="B144" s="248" t="s">
        <v>77</v>
      </c>
      <c r="C144" s="224">
        <v>0</v>
      </c>
      <c r="D144" s="225">
        <v>0</v>
      </c>
      <c r="E144" s="241">
        <v>8300</v>
      </c>
      <c r="F144" s="227">
        <v>2000</v>
      </c>
      <c r="G144" s="227">
        <v>8300</v>
      </c>
      <c r="H144" s="227">
        <v>8300</v>
      </c>
      <c r="I144" s="227">
        <v>3500</v>
      </c>
      <c r="J144" s="242">
        <v>4000</v>
      </c>
      <c r="K144" s="252">
        <v>8300</v>
      </c>
      <c r="L144" s="244">
        <v>500</v>
      </c>
      <c r="M144" s="244">
        <v>8500</v>
      </c>
      <c r="N144" s="245">
        <v>9200</v>
      </c>
      <c r="O144" s="227">
        <v>6000</v>
      </c>
      <c r="P144" s="228">
        <f>8250+2750</f>
        <v>11000</v>
      </c>
      <c r="Q144" s="230">
        <f>2750+3750+3250+3250</f>
        <v>13000</v>
      </c>
      <c r="R144" s="229">
        <f t="shared" si="26"/>
        <v>74900</v>
      </c>
      <c r="S144" s="226">
        <f t="shared" si="31"/>
        <v>16000</v>
      </c>
      <c r="T144" s="400">
        <f t="shared" si="32"/>
        <v>90900</v>
      </c>
      <c r="U144" s="246">
        <f t="shared" si="27"/>
        <v>0</v>
      </c>
      <c r="V144" s="232">
        <f t="shared" si="28"/>
        <v>0</v>
      </c>
      <c r="W144" s="233">
        <f t="shared" si="33"/>
        <v>0</v>
      </c>
      <c r="X144" s="234">
        <f t="shared" si="29"/>
        <v>-13000</v>
      </c>
      <c r="Y144" s="233">
        <f t="shared" si="34"/>
        <v>-13000</v>
      </c>
      <c r="Z144" s="247">
        <v>140</v>
      </c>
      <c r="AA144" s="236">
        <f t="shared" si="30"/>
        <v>0</v>
      </c>
      <c r="AB144" s="172"/>
      <c r="AC144" s="172">
        <v>90900</v>
      </c>
      <c r="AD144" s="172">
        <v>0</v>
      </c>
      <c r="AE144" s="172">
        <v>0</v>
      </c>
      <c r="AF144" s="224"/>
      <c r="AG144" s="224"/>
      <c r="AH144" s="224"/>
      <c r="AI144" s="224"/>
      <c r="AJ144" s="179"/>
      <c r="AK144" s="179"/>
      <c r="AL144" s="179"/>
      <c r="AM144" s="179"/>
      <c r="AN144" s="179"/>
      <c r="AO144" s="179"/>
      <c r="AP144" s="179"/>
      <c r="AQ144" s="179"/>
      <c r="AR144" s="181"/>
      <c r="AS144" s="181"/>
      <c r="AT144" s="181"/>
      <c r="AU144" s="181"/>
    </row>
    <row r="145" spans="1:47" s="182" customFormat="1" ht="11.4" thickTop="1" thickBot="1" x14ac:dyDescent="0.25">
      <c r="A145" s="237">
        <v>141</v>
      </c>
      <c r="B145" s="248" t="s">
        <v>78</v>
      </c>
      <c r="C145" s="224">
        <v>0</v>
      </c>
      <c r="D145" s="225">
        <v>0</v>
      </c>
      <c r="E145" s="241">
        <v>8300</v>
      </c>
      <c r="F145" s="227">
        <v>2000</v>
      </c>
      <c r="G145" s="227">
        <v>8300</v>
      </c>
      <c r="H145" s="227">
        <v>8300</v>
      </c>
      <c r="I145" s="227">
        <v>3500</v>
      </c>
      <c r="J145" s="242">
        <v>4000</v>
      </c>
      <c r="K145" s="252">
        <v>8300</v>
      </c>
      <c r="L145" s="244">
        <v>500</v>
      </c>
      <c r="M145" s="244">
        <v>8500</v>
      </c>
      <c r="N145" s="245">
        <v>9200</v>
      </c>
      <c r="O145" s="227">
        <f>4600+1400</f>
        <v>6000</v>
      </c>
      <c r="P145" s="228">
        <f>8250+1834+916</f>
        <v>11000</v>
      </c>
      <c r="Q145" s="230">
        <f>2750+917+3084+1583+2083+1042</f>
        <v>11459</v>
      </c>
      <c r="R145" s="229">
        <f t="shared" si="26"/>
        <v>73359</v>
      </c>
      <c r="S145" s="226">
        <f t="shared" si="31"/>
        <v>16000</v>
      </c>
      <c r="T145" s="400">
        <f t="shared" si="32"/>
        <v>89359</v>
      </c>
      <c r="U145" s="246">
        <f t="shared" si="27"/>
        <v>0</v>
      </c>
      <c r="V145" s="232">
        <f t="shared" si="28"/>
        <v>1041</v>
      </c>
      <c r="W145" s="233">
        <f t="shared" si="33"/>
        <v>1041</v>
      </c>
      <c r="X145" s="234">
        <f t="shared" si="29"/>
        <v>-11459</v>
      </c>
      <c r="Y145" s="233">
        <f t="shared" si="34"/>
        <v>-11459</v>
      </c>
      <c r="Z145" s="247">
        <v>141</v>
      </c>
      <c r="AA145" s="236">
        <f t="shared" si="30"/>
        <v>1042</v>
      </c>
      <c r="AB145" s="172"/>
      <c r="AC145" s="172">
        <v>88317</v>
      </c>
      <c r="AD145" s="172">
        <v>0</v>
      </c>
      <c r="AE145" s="172">
        <v>0</v>
      </c>
      <c r="AF145" s="224"/>
      <c r="AG145" s="224"/>
      <c r="AH145" s="224"/>
      <c r="AI145" s="224"/>
      <c r="AJ145" s="179"/>
      <c r="AK145" s="179"/>
      <c r="AL145" s="179"/>
      <c r="AM145" s="179"/>
      <c r="AN145" s="179"/>
      <c r="AO145" s="179"/>
      <c r="AP145" s="179"/>
      <c r="AQ145" s="179"/>
      <c r="AR145" s="181"/>
      <c r="AS145" s="181"/>
      <c r="AT145" s="181"/>
      <c r="AU145" s="181"/>
    </row>
    <row r="146" spans="1:47" s="268" customFormat="1" ht="11.4" thickTop="1" thickBot="1" x14ac:dyDescent="0.25">
      <c r="A146" s="254">
        <v>142</v>
      </c>
      <c r="B146" s="255" t="s">
        <v>112</v>
      </c>
      <c r="C146" s="256">
        <v>0</v>
      </c>
      <c r="D146" s="257">
        <v>0</v>
      </c>
      <c r="E146" s="258">
        <v>8300</v>
      </c>
      <c r="F146" s="259">
        <v>2000</v>
      </c>
      <c r="G146" s="259">
        <v>8300</v>
      </c>
      <c r="H146" s="259">
        <v>8300</v>
      </c>
      <c r="I146" s="259">
        <v>3500</v>
      </c>
      <c r="J146" s="260">
        <f>500+500</f>
        <v>1000</v>
      </c>
      <c r="K146" s="272">
        <v>8300</v>
      </c>
      <c r="L146" s="260">
        <v>500</v>
      </c>
      <c r="M146" s="260">
        <v>8500</v>
      </c>
      <c r="N146" s="262">
        <v>9200</v>
      </c>
      <c r="O146" s="259">
        <v>6000</v>
      </c>
      <c r="P146" s="273">
        <f>8250+2750</f>
        <v>11000</v>
      </c>
      <c r="Q146" s="257">
        <f>9375+3125</f>
        <v>12500</v>
      </c>
      <c r="R146" s="418">
        <f t="shared" si="26"/>
        <v>74400</v>
      </c>
      <c r="S146" s="369">
        <f t="shared" si="31"/>
        <v>13000</v>
      </c>
      <c r="T146" s="457">
        <f t="shared" si="32"/>
        <v>87400</v>
      </c>
      <c r="U146" s="263">
        <f t="shared" si="27"/>
        <v>3000</v>
      </c>
      <c r="V146" s="264">
        <f t="shared" si="28"/>
        <v>0</v>
      </c>
      <c r="W146" s="265">
        <f t="shared" si="33"/>
        <v>3000</v>
      </c>
      <c r="X146" s="370">
        <f t="shared" si="29"/>
        <v>-12500</v>
      </c>
      <c r="Y146" s="265">
        <f t="shared" si="34"/>
        <v>-9500</v>
      </c>
      <c r="Z146" s="266">
        <v>142</v>
      </c>
      <c r="AA146" s="259">
        <f t="shared" si="30"/>
        <v>3125</v>
      </c>
      <c r="AB146" s="267"/>
      <c r="AC146" s="267">
        <v>84275</v>
      </c>
      <c r="AD146" s="267">
        <v>0</v>
      </c>
      <c r="AE146" s="267">
        <v>0</v>
      </c>
      <c r="AF146" s="256">
        <v>1000</v>
      </c>
      <c r="AG146" s="256"/>
      <c r="AH146" s="256"/>
      <c r="AI146" s="256"/>
      <c r="AJ146" s="371"/>
      <c r="AK146" s="371"/>
      <c r="AL146" s="371"/>
      <c r="AM146" s="371"/>
      <c r="AN146" s="371"/>
      <c r="AO146" s="371"/>
      <c r="AP146" s="371"/>
      <c r="AQ146" s="371"/>
    </row>
    <row r="147" spans="1:47" s="268" customFormat="1" ht="11.4" thickTop="1" thickBot="1" x14ac:dyDescent="0.25">
      <c r="A147" s="254">
        <v>143</v>
      </c>
      <c r="B147" s="255" t="s">
        <v>112</v>
      </c>
      <c r="C147" s="256">
        <v>0</v>
      </c>
      <c r="D147" s="257">
        <v>0</v>
      </c>
      <c r="E147" s="258">
        <v>8300</v>
      </c>
      <c r="F147" s="259">
        <v>2000</v>
      </c>
      <c r="G147" s="259">
        <v>8300</v>
      </c>
      <c r="H147" s="259">
        <v>8300</v>
      </c>
      <c r="I147" s="259">
        <v>3500</v>
      </c>
      <c r="J147" s="260">
        <f>500+500</f>
        <v>1000</v>
      </c>
      <c r="K147" s="272">
        <v>8300</v>
      </c>
      <c r="L147" s="260">
        <v>500</v>
      </c>
      <c r="M147" s="260">
        <v>8500</v>
      </c>
      <c r="N147" s="262">
        <v>9200</v>
      </c>
      <c r="O147" s="259">
        <v>6000</v>
      </c>
      <c r="P147" s="273">
        <f>8250+2750</f>
        <v>11000</v>
      </c>
      <c r="Q147" s="257">
        <f>9375+3125</f>
        <v>12500</v>
      </c>
      <c r="R147" s="418">
        <f t="shared" si="26"/>
        <v>74400</v>
      </c>
      <c r="S147" s="369">
        <f t="shared" si="31"/>
        <v>13000</v>
      </c>
      <c r="T147" s="457">
        <f t="shared" si="32"/>
        <v>87400</v>
      </c>
      <c r="U147" s="263">
        <f t="shared" si="27"/>
        <v>3000</v>
      </c>
      <c r="V147" s="264">
        <f t="shared" si="28"/>
        <v>0</v>
      </c>
      <c r="W147" s="265">
        <f t="shared" si="33"/>
        <v>3000</v>
      </c>
      <c r="X147" s="370">
        <f t="shared" si="29"/>
        <v>-12500</v>
      </c>
      <c r="Y147" s="265">
        <f t="shared" si="34"/>
        <v>-9500</v>
      </c>
      <c r="Z147" s="266">
        <v>143</v>
      </c>
      <c r="AA147" s="259">
        <f t="shared" si="30"/>
        <v>3125</v>
      </c>
      <c r="AB147" s="267"/>
      <c r="AC147" s="267">
        <v>84275</v>
      </c>
      <c r="AD147" s="267">
        <v>0</v>
      </c>
      <c r="AE147" s="267">
        <v>0</v>
      </c>
      <c r="AF147" s="256"/>
      <c r="AG147" s="256"/>
      <c r="AH147" s="256"/>
      <c r="AI147" s="256"/>
      <c r="AJ147" s="371"/>
      <c r="AK147" s="371"/>
      <c r="AL147" s="371"/>
      <c r="AM147" s="371"/>
      <c r="AN147" s="371"/>
      <c r="AO147" s="371"/>
      <c r="AP147" s="371"/>
      <c r="AQ147" s="371"/>
    </row>
    <row r="148" spans="1:47" s="268" customFormat="1" ht="11.4" thickTop="1" thickBot="1" x14ac:dyDescent="0.25">
      <c r="A148" s="254">
        <v>144</v>
      </c>
      <c r="B148" s="255" t="s">
        <v>112</v>
      </c>
      <c r="C148" s="256">
        <v>0</v>
      </c>
      <c r="D148" s="257">
        <v>0</v>
      </c>
      <c r="E148" s="258">
        <v>8300</v>
      </c>
      <c r="F148" s="259">
        <v>2000</v>
      </c>
      <c r="G148" s="259">
        <v>8300</v>
      </c>
      <c r="H148" s="259">
        <v>8300</v>
      </c>
      <c r="I148" s="259">
        <v>3500</v>
      </c>
      <c r="J148" s="260">
        <f>500+500</f>
        <v>1000</v>
      </c>
      <c r="K148" s="272">
        <v>8300</v>
      </c>
      <c r="L148" s="260">
        <v>500</v>
      </c>
      <c r="M148" s="260">
        <v>8500</v>
      </c>
      <c r="N148" s="262">
        <v>9200</v>
      </c>
      <c r="O148" s="259">
        <v>6000</v>
      </c>
      <c r="P148" s="273">
        <f>8250+2750</f>
        <v>11000</v>
      </c>
      <c r="Q148" s="257">
        <f>9375+3125</f>
        <v>12500</v>
      </c>
      <c r="R148" s="418">
        <f t="shared" si="26"/>
        <v>74400</v>
      </c>
      <c r="S148" s="369">
        <f t="shared" si="31"/>
        <v>13000</v>
      </c>
      <c r="T148" s="457">
        <f t="shared" si="32"/>
        <v>87400</v>
      </c>
      <c r="U148" s="263">
        <f t="shared" si="27"/>
        <v>3000</v>
      </c>
      <c r="V148" s="264">
        <f t="shared" si="28"/>
        <v>0</v>
      </c>
      <c r="W148" s="265">
        <f t="shared" si="33"/>
        <v>3000</v>
      </c>
      <c r="X148" s="370">
        <f t="shared" si="29"/>
        <v>-12500</v>
      </c>
      <c r="Y148" s="265">
        <f t="shared" si="34"/>
        <v>-9500</v>
      </c>
      <c r="Z148" s="266">
        <v>144</v>
      </c>
      <c r="AA148" s="259">
        <f t="shared" si="30"/>
        <v>3125</v>
      </c>
      <c r="AB148" s="267"/>
      <c r="AC148" s="267">
        <v>84275</v>
      </c>
      <c r="AD148" s="267">
        <v>0</v>
      </c>
      <c r="AE148" s="267">
        <v>0</v>
      </c>
      <c r="AF148" s="256"/>
      <c r="AG148" s="256"/>
      <c r="AH148" s="256"/>
      <c r="AI148" s="256"/>
      <c r="AJ148" s="371"/>
      <c r="AK148" s="371"/>
      <c r="AL148" s="371"/>
      <c r="AM148" s="371"/>
      <c r="AN148" s="371"/>
      <c r="AO148" s="371"/>
      <c r="AP148" s="371"/>
      <c r="AQ148" s="371"/>
    </row>
    <row r="149" spans="1:47" s="268" customFormat="1" ht="11.4" thickTop="1" thickBot="1" x14ac:dyDescent="0.25">
      <c r="A149" s="254">
        <v>145</v>
      </c>
      <c r="B149" s="255" t="s">
        <v>112</v>
      </c>
      <c r="C149" s="256">
        <v>0</v>
      </c>
      <c r="D149" s="257">
        <v>0</v>
      </c>
      <c r="E149" s="258">
        <v>8300</v>
      </c>
      <c r="F149" s="259">
        <v>2000</v>
      </c>
      <c r="G149" s="259">
        <v>8300</v>
      </c>
      <c r="H149" s="259">
        <v>8300</v>
      </c>
      <c r="I149" s="259">
        <v>3500</v>
      </c>
      <c r="J149" s="260">
        <f>500+500</f>
        <v>1000</v>
      </c>
      <c r="K149" s="272">
        <v>8300</v>
      </c>
      <c r="L149" s="260">
        <v>500</v>
      </c>
      <c r="M149" s="260">
        <v>8500</v>
      </c>
      <c r="N149" s="262">
        <v>9200</v>
      </c>
      <c r="O149" s="259">
        <v>6000</v>
      </c>
      <c r="P149" s="273">
        <f>8250+2750</f>
        <v>11000</v>
      </c>
      <c r="Q149" s="257">
        <f>9375+3125</f>
        <v>12500</v>
      </c>
      <c r="R149" s="418">
        <f t="shared" si="26"/>
        <v>74400</v>
      </c>
      <c r="S149" s="369">
        <f t="shared" si="31"/>
        <v>13000</v>
      </c>
      <c r="T149" s="457">
        <f t="shared" si="32"/>
        <v>87400</v>
      </c>
      <c r="U149" s="263">
        <f t="shared" si="27"/>
        <v>3000</v>
      </c>
      <c r="V149" s="264">
        <f t="shared" si="28"/>
        <v>0</v>
      </c>
      <c r="W149" s="265">
        <f t="shared" si="33"/>
        <v>3000</v>
      </c>
      <c r="X149" s="370">
        <f t="shared" si="29"/>
        <v>-12500</v>
      </c>
      <c r="Y149" s="265">
        <f t="shared" si="34"/>
        <v>-9500</v>
      </c>
      <c r="Z149" s="266">
        <v>145</v>
      </c>
      <c r="AA149" s="259">
        <f t="shared" si="30"/>
        <v>3125</v>
      </c>
      <c r="AB149" s="267"/>
      <c r="AC149" s="267">
        <v>84275</v>
      </c>
      <c r="AD149" s="267">
        <v>0</v>
      </c>
      <c r="AE149" s="267">
        <v>0</v>
      </c>
      <c r="AF149" s="256"/>
      <c r="AG149" s="256"/>
      <c r="AH149" s="256"/>
      <c r="AI149" s="256"/>
      <c r="AJ149" s="371"/>
      <c r="AK149" s="371"/>
      <c r="AL149" s="371"/>
      <c r="AM149" s="371"/>
      <c r="AN149" s="371"/>
      <c r="AO149" s="371"/>
      <c r="AP149" s="371"/>
      <c r="AQ149" s="371"/>
    </row>
    <row r="150" spans="1:47" s="182" customFormat="1" ht="11.4" thickTop="1" thickBot="1" x14ac:dyDescent="0.25">
      <c r="A150" s="237">
        <v>146</v>
      </c>
      <c r="B150" s="282" t="s">
        <v>124</v>
      </c>
      <c r="C150" s="224">
        <v>0</v>
      </c>
      <c r="D150" s="225">
        <v>0</v>
      </c>
      <c r="E150" s="241">
        <v>8300</v>
      </c>
      <c r="F150" s="227">
        <v>2000</v>
      </c>
      <c r="G150" s="227">
        <v>8300</v>
      </c>
      <c r="H150" s="227">
        <v>8300</v>
      </c>
      <c r="I150" s="227">
        <f>2000+1500</f>
        <v>3500</v>
      </c>
      <c r="J150" s="242">
        <v>4000</v>
      </c>
      <c r="K150" s="252">
        <v>8300</v>
      </c>
      <c r="L150" s="244">
        <v>500</v>
      </c>
      <c r="M150" s="244">
        <v>8500</v>
      </c>
      <c r="N150" s="245">
        <f>6000+3200</f>
        <v>9200</v>
      </c>
      <c r="O150" s="227">
        <v>6000</v>
      </c>
      <c r="P150" s="228">
        <f>6000+4250+750</f>
        <v>11000</v>
      </c>
      <c r="Q150" s="230">
        <f>7250+4200</f>
        <v>11450</v>
      </c>
      <c r="R150" s="229">
        <f t="shared" si="26"/>
        <v>73350</v>
      </c>
      <c r="S150" s="226">
        <f t="shared" si="31"/>
        <v>16000</v>
      </c>
      <c r="T150" s="400">
        <f t="shared" si="32"/>
        <v>89350</v>
      </c>
      <c r="U150" s="246">
        <f t="shared" si="27"/>
        <v>0</v>
      </c>
      <c r="V150" s="232">
        <f t="shared" si="28"/>
        <v>1050</v>
      </c>
      <c r="W150" s="233">
        <f t="shared" si="33"/>
        <v>1050</v>
      </c>
      <c r="X150" s="234">
        <f t="shared" si="29"/>
        <v>-11450</v>
      </c>
      <c r="Y150" s="233">
        <f t="shared" si="34"/>
        <v>-11450</v>
      </c>
      <c r="Z150" s="247">
        <v>146</v>
      </c>
      <c r="AA150" s="236">
        <f t="shared" si="30"/>
        <v>12200</v>
      </c>
      <c r="AB150" s="172"/>
      <c r="AC150" s="172">
        <v>77150</v>
      </c>
      <c r="AD150" s="172">
        <v>0</v>
      </c>
      <c r="AE150" s="172">
        <v>0</v>
      </c>
      <c r="AF150" s="224"/>
      <c r="AG150" s="224">
        <v>8300</v>
      </c>
      <c r="AH150" s="224"/>
      <c r="AI150" s="224"/>
      <c r="AJ150" s="179"/>
      <c r="AK150" s="179"/>
      <c r="AL150" s="179"/>
      <c r="AM150" s="179"/>
      <c r="AN150" s="179"/>
      <c r="AO150" s="179"/>
      <c r="AP150" s="179"/>
      <c r="AQ150" s="179"/>
      <c r="AR150" s="181"/>
      <c r="AS150" s="181"/>
      <c r="AT150" s="181"/>
      <c r="AU150" s="181"/>
    </row>
    <row r="151" spans="1:47" s="182" customFormat="1" ht="11.4" thickTop="1" thickBot="1" x14ac:dyDescent="0.25">
      <c r="A151" s="237">
        <v>147</v>
      </c>
      <c r="B151" s="248" t="s">
        <v>148</v>
      </c>
      <c r="C151" s="224">
        <v>0</v>
      </c>
      <c r="D151" s="251">
        <v>0</v>
      </c>
      <c r="E151" s="241">
        <v>8300</v>
      </c>
      <c r="F151" s="227">
        <v>2000</v>
      </c>
      <c r="G151" s="227">
        <v>8300</v>
      </c>
      <c r="H151" s="227">
        <v>8300</v>
      </c>
      <c r="I151" s="227">
        <v>3500</v>
      </c>
      <c r="J151" s="242">
        <v>4000</v>
      </c>
      <c r="K151" s="252">
        <v>8300</v>
      </c>
      <c r="L151" s="244">
        <v>500</v>
      </c>
      <c r="M151" s="244">
        <v>8500</v>
      </c>
      <c r="N151" s="245">
        <v>9200</v>
      </c>
      <c r="O151" s="227">
        <v>6000</v>
      </c>
      <c r="P151" s="228">
        <v>11000</v>
      </c>
      <c r="Q151" s="230">
        <v>12500</v>
      </c>
      <c r="R151" s="229">
        <f t="shared" si="26"/>
        <v>74400</v>
      </c>
      <c r="S151" s="226">
        <f t="shared" si="31"/>
        <v>16000</v>
      </c>
      <c r="T151" s="400">
        <f t="shared" si="32"/>
        <v>90400</v>
      </c>
      <c r="U151" s="246">
        <f t="shared" si="27"/>
        <v>0</v>
      </c>
      <c r="V151" s="232">
        <f t="shared" si="28"/>
        <v>0</v>
      </c>
      <c r="W151" s="233">
        <f t="shared" si="33"/>
        <v>0</v>
      </c>
      <c r="X151" s="234">
        <f t="shared" si="29"/>
        <v>-12500</v>
      </c>
      <c r="Y151" s="233">
        <f t="shared" si="34"/>
        <v>-12500</v>
      </c>
      <c r="Z151" s="247">
        <v>147</v>
      </c>
      <c r="AA151" s="236">
        <f t="shared" si="30"/>
        <v>0</v>
      </c>
      <c r="AB151" s="172"/>
      <c r="AC151" s="172">
        <v>90400</v>
      </c>
      <c r="AD151" s="172">
        <v>0</v>
      </c>
      <c r="AE151" s="172">
        <v>0</v>
      </c>
      <c r="AF151" s="224"/>
      <c r="AG151" s="224"/>
      <c r="AH151" s="224"/>
      <c r="AI151" s="224"/>
      <c r="AJ151" s="179"/>
      <c r="AK151" s="179"/>
      <c r="AL151" s="179"/>
      <c r="AM151" s="179"/>
      <c r="AN151" s="179"/>
      <c r="AO151" s="179"/>
      <c r="AP151" s="179"/>
      <c r="AQ151" s="179"/>
      <c r="AR151" s="181"/>
      <c r="AS151" s="181"/>
      <c r="AT151" s="181"/>
      <c r="AU151" s="181"/>
    </row>
    <row r="152" spans="1:47" s="182" customFormat="1" ht="11.4" thickTop="1" thickBot="1" x14ac:dyDescent="0.25">
      <c r="A152" s="237">
        <v>148</v>
      </c>
      <c r="B152" s="248" t="s">
        <v>79</v>
      </c>
      <c r="C152" s="224">
        <v>0</v>
      </c>
      <c r="D152" s="225">
        <v>0</v>
      </c>
      <c r="E152" s="241">
        <v>8300</v>
      </c>
      <c r="F152" s="227">
        <v>2000</v>
      </c>
      <c r="G152" s="227">
        <v>8300</v>
      </c>
      <c r="H152" s="227">
        <v>8300</v>
      </c>
      <c r="I152" s="227">
        <v>3500</v>
      </c>
      <c r="J152" s="242">
        <v>350</v>
      </c>
      <c r="K152" s="252">
        <v>8300</v>
      </c>
      <c r="L152" s="244">
        <v>500</v>
      </c>
      <c r="M152" s="244">
        <v>8500</v>
      </c>
      <c r="N152" s="245">
        <v>9200</v>
      </c>
      <c r="O152" s="227">
        <v>6000</v>
      </c>
      <c r="P152" s="228">
        <f>10090+910</f>
        <v>11000</v>
      </c>
      <c r="Q152" s="230">
        <f>4178+1045+2090+1045+1045+1045+1045</f>
        <v>11493</v>
      </c>
      <c r="R152" s="229">
        <f t="shared" si="26"/>
        <v>73393</v>
      </c>
      <c r="S152" s="226">
        <f t="shared" si="31"/>
        <v>12350</v>
      </c>
      <c r="T152" s="400">
        <f t="shared" si="32"/>
        <v>85743</v>
      </c>
      <c r="U152" s="246">
        <f t="shared" si="27"/>
        <v>3650</v>
      </c>
      <c r="V152" s="232">
        <f t="shared" si="28"/>
        <v>1007</v>
      </c>
      <c r="W152" s="233">
        <f t="shared" si="33"/>
        <v>4657</v>
      </c>
      <c r="X152" s="234">
        <f t="shared" si="29"/>
        <v>-11493</v>
      </c>
      <c r="Y152" s="233">
        <f t="shared" si="34"/>
        <v>-7843</v>
      </c>
      <c r="Z152" s="247">
        <v>148</v>
      </c>
      <c r="AA152" s="236">
        <f t="shared" si="30"/>
        <v>0</v>
      </c>
      <c r="AB152" s="172"/>
      <c r="AC152" s="172">
        <v>85743</v>
      </c>
      <c r="AD152" s="172">
        <v>0</v>
      </c>
      <c r="AE152" s="172">
        <v>0</v>
      </c>
      <c r="AF152" s="224"/>
      <c r="AG152" s="224"/>
      <c r="AH152" s="224"/>
      <c r="AI152" s="224"/>
      <c r="AJ152" s="179"/>
      <c r="AK152" s="179"/>
      <c r="AL152" s="179"/>
      <c r="AM152" s="179"/>
      <c r="AN152" s="179"/>
      <c r="AO152" s="179"/>
      <c r="AP152" s="179"/>
      <c r="AQ152" s="179"/>
      <c r="AR152" s="181"/>
      <c r="AS152" s="181"/>
      <c r="AT152" s="181"/>
      <c r="AU152" s="181"/>
    </row>
    <row r="153" spans="1:47" s="182" customFormat="1" ht="11.4" thickTop="1" thickBot="1" x14ac:dyDescent="0.25">
      <c r="A153" s="237">
        <v>149</v>
      </c>
      <c r="B153" s="248" t="s">
        <v>80</v>
      </c>
      <c r="C153" s="224">
        <v>0</v>
      </c>
      <c r="D153" s="225">
        <v>0</v>
      </c>
      <c r="E153" s="241">
        <v>8300</v>
      </c>
      <c r="F153" s="227">
        <v>2000</v>
      </c>
      <c r="G153" s="227">
        <v>8300</v>
      </c>
      <c r="H153" s="227">
        <v>8300</v>
      </c>
      <c r="I153" s="227">
        <v>3000</v>
      </c>
      <c r="J153" s="242">
        <v>2000</v>
      </c>
      <c r="K153" s="252">
        <v>8300</v>
      </c>
      <c r="L153" s="244">
        <v>500</v>
      </c>
      <c r="M153" s="244">
        <v>8500</v>
      </c>
      <c r="N153" s="245">
        <v>9200</v>
      </c>
      <c r="O153" s="227">
        <v>6000</v>
      </c>
      <c r="P153" s="228">
        <f>5500+5500</f>
        <v>11000</v>
      </c>
      <c r="Q153" s="230">
        <v>12500</v>
      </c>
      <c r="R153" s="229">
        <f t="shared" si="26"/>
        <v>74400</v>
      </c>
      <c r="S153" s="226">
        <f t="shared" si="31"/>
        <v>13500</v>
      </c>
      <c r="T153" s="400">
        <f t="shared" si="32"/>
        <v>87900</v>
      </c>
      <c r="U153" s="246">
        <f t="shared" si="27"/>
        <v>2500</v>
      </c>
      <c r="V153" s="232">
        <f t="shared" si="28"/>
        <v>0</v>
      </c>
      <c r="W153" s="233">
        <f t="shared" si="33"/>
        <v>2500</v>
      </c>
      <c r="X153" s="234">
        <f t="shared" si="29"/>
        <v>-12500</v>
      </c>
      <c r="Y153" s="233">
        <f t="shared" si="34"/>
        <v>-10000</v>
      </c>
      <c r="Z153" s="247">
        <v>149</v>
      </c>
      <c r="AA153" s="236">
        <f t="shared" si="30"/>
        <v>12500</v>
      </c>
      <c r="AB153" s="172"/>
      <c r="AC153" s="172">
        <v>75400</v>
      </c>
      <c r="AD153" s="172">
        <v>0</v>
      </c>
      <c r="AE153" s="172">
        <v>0</v>
      </c>
      <c r="AF153" s="224"/>
      <c r="AG153" s="224"/>
      <c r="AH153" s="224"/>
      <c r="AI153" s="224"/>
      <c r="AJ153" s="179"/>
      <c r="AK153" s="179"/>
      <c r="AL153" s="179"/>
      <c r="AM153" s="179"/>
      <c r="AN153" s="179"/>
      <c r="AO153" s="179"/>
      <c r="AP153" s="179"/>
      <c r="AQ153" s="179"/>
      <c r="AR153" s="181"/>
      <c r="AS153" s="181"/>
      <c r="AT153" s="181"/>
      <c r="AU153" s="181"/>
    </row>
    <row r="154" spans="1:47" s="182" customFormat="1" ht="11.4" thickTop="1" thickBot="1" x14ac:dyDescent="0.25">
      <c r="A154" s="237">
        <v>150</v>
      </c>
      <c r="B154" s="248" t="s">
        <v>81</v>
      </c>
      <c r="C154" s="224">
        <v>0</v>
      </c>
      <c r="D154" s="225">
        <v>0</v>
      </c>
      <c r="E154" s="241">
        <v>8300</v>
      </c>
      <c r="F154" s="227">
        <v>2000</v>
      </c>
      <c r="G154" s="227">
        <v>8300</v>
      </c>
      <c r="H154" s="227">
        <v>8300</v>
      </c>
      <c r="I154" s="227">
        <v>3500</v>
      </c>
      <c r="J154" s="242">
        <v>4000</v>
      </c>
      <c r="K154" s="252">
        <v>8300</v>
      </c>
      <c r="L154" s="244">
        <v>500</v>
      </c>
      <c r="M154" s="244">
        <v>8500</v>
      </c>
      <c r="N154" s="245">
        <v>9200</v>
      </c>
      <c r="O154" s="227">
        <v>6000</v>
      </c>
      <c r="P154" s="228">
        <v>10800</v>
      </c>
      <c r="Q154" s="230">
        <f>5500+5000</f>
        <v>10500</v>
      </c>
      <c r="R154" s="229">
        <f t="shared" si="26"/>
        <v>72200</v>
      </c>
      <c r="S154" s="226">
        <f t="shared" si="31"/>
        <v>16000</v>
      </c>
      <c r="T154" s="400">
        <f t="shared" si="32"/>
        <v>88200</v>
      </c>
      <c r="U154" s="246">
        <f t="shared" si="27"/>
        <v>0</v>
      </c>
      <c r="V154" s="232">
        <f t="shared" si="28"/>
        <v>2200</v>
      </c>
      <c r="W154" s="233">
        <f t="shared" si="33"/>
        <v>2200</v>
      </c>
      <c r="X154" s="234">
        <f t="shared" si="29"/>
        <v>-10300</v>
      </c>
      <c r="Y154" s="233">
        <f t="shared" si="34"/>
        <v>-10300</v>
      </c>
      <c r="Z154" s="247">
        <v>150</v>
      </c>
      <c r="AA154" s="236">
        <f t="shared" si="30"/>
        <v>0</v>
      </c>
      <c r="AB154" s="172"/>
      <c r="AC154" s="172">
        <v>88200</v>
      </c>
      <c r="AD154" s="172">
        <v>0</v>
      </c>
      <c r="AE154" s="172">
        <v>0</v>
      </c>
      <c r="AF154" s="224"/>
      <c r="AG154" s="224"/>
      <c r="AH154" s="224"/>
      <c r="AI154" s="224"/>
      <c r="AJ154" s="179"/>
      <c r="AK154" s="179"/>
      <c r="AL154" s="179"/>
      <c r="AM154" s="179"/>
      <c r="AN154" s="179"/>
      <c r="AO154" s="179"/>
      <c r="AP154" s="179"/>
      <c r="AQ154" s="179"/>
      <c r="AR154" s="181"/>
      <c r="AS154" s="181"/>
      <c r="AT154" s="181"/>
      <c r="AU154" s="181"/>
    </row>
    <row r="155" spans="1:47" s="182" customFormat="1" ht="11.4" thickTop="1" thickBot="1" x14ac:dyDescent="0.25">
      <c r="A155" s="237">
        <v>151</v>
      </c>
      <c r="B155" s="248" t="s">
        <v>129</v>
      </c>
      <c r="C155" s="224">
        <v>0</v>
      </c>
      <c r="D155" s="225">
        <v>0</v>
      </c>
      <c r="E155" s="241">
        <v>8300</v>
      </c>
      <c r="F155" s="227">
        <v>2000</v>
      </c>
      <c r="G155" s="227">
        <v>8300</v>
      </c>
      <c r="H155" s="227">
        <v>8300</v>
      </c>
      <c r="I155" s="227">
        <v>3500</v>
      </c>
      <c r="J155" s="236">
        <v>1800</v>
      </c>
      <c r="K155" s="249">
        <v>8300</v>
      </c>
      <c r="L155" s="244">
        <v>500</v>
      </c>
      <c r="M155" s="244">
        <v>8500</v>
      </c>
      <c r="N155" s="245">
        <v>9200</v>
      </c>
      <c r="O155" s="227">
        <v>6000</v>
      </c>
      <c r="P155" s="228">
        <v>6000</v>
      </c>
      <c r="Q155" s="230">
        <v>2000</v>
      </c>
      <c r="R155" s="229">
        <f t="shared" si="26"/>
        <v>58900</v>
      </c>
      <c r="S155" s="226">
        <f t="shared" si="31"/>
        <v>13800</v>
      </c>
      <c r="T155" s="400">
        <f t="shared" si="32"/>
        <v>72700</v>
      </c>
      <c r="U155" s="246">
        <f t="shared" si="27"/>
        <v>2200</v>
      </c>
      <c r="V155" s="232">
        <f t="shared" si="28"/>
        <v>15500</v>
      </c>
      <c r="W155" s="233">
        <f t="shared" si="33"/>
        <v>17700</v>
      </c>
      <c r="X155" s="234">
        <f t="shared" si="29"/>
        <v>3000</v>
      </c>
      <c r="Y155" s="233">
        <f t="shared" si="34"/>
        <v>5200</v>
      </c>
      <c r="Z155" s="247">
        <v>151</v>
      </c>
      <c r="AA155" s="236">
        <f t="shared" si="30"/>
        <v>0</v>
      </c>
      <c r="AB155" s="237"/>
      <c r="AC155" s="172">
        <v>72700</v>
      </c>
      <c r="AD155" s="172">
        <v>0</v>
      </c>
      <c r="AE155" s="172">
        <v>0</v>
      </c>
      <c r="AF155" s="224"/>
      <c r="AG155" s="224"/>
      <c r="AH155" s="224"/>
      <c r="AI155" s="224"/>
      <c r="AJ155" s="179"/>
      <c r="AK155" s="179"/>
      <c r="AL155" s="179"/>
      <c r="AM155" s="179"/>
      <c r="AN155" s="179"/>
      <c r="AO155" s="179"/>
      <c r="AP155" s="179"/>
      <c r="AQ155" s="179"/>
      <c r="AR155" s="181"/>
      <c r="AS155" s="181"/>
      <c r="AT155" s="181"/>
      <c r="AU155" s="181"/>
    </row>
    <row r="156" spans="1:47" s="182" customFormat="1" ht="11.4" thickTop="1" thickBot="1" x14ac:dyDescent="0.25">
      <c r="A156" s="237">
        <v>152</v>
      </c>
      <c r="B156" s="248" t="s">
        <v>280</v>
      </c>
      <c r="C156" s="224">
        <v>0</v>
      </c>
      <c r="D156" s="225">
        <v>0</v>
      </c>
      <c r="E156" s="241">
        <v>8300</v>
      </c>
      <c r="F156" s="227">
        <v>2000</v>
      </c>
      <c r="G156" s="227">
        <v>8300</v>
      </c>
      <c r="H156" s="227">
        <v>8300</v>
      </c>
      <c r="I156" s="227">
        <v>3500</v>
      </c>
      <c r="J156" s="236">
        <v>1000</v>
      </c>
      <c r="K156" s="249">
        <v>8300</v>
      </c>
      <c r="L156" s="227">
        <v>500</v>
      </c>
      <c r="M156" s="244">
        <v>8500</v>
      </c>
      <c r="N156" s="245">
        <v>9200</v>
      </c>
      <c r="O156" s="227">
        <v>6000</v>
      </c>
      <c r="P156" s="228">
        <f>8250+2750</f>
        <v>11000</v>
      </c>
      <c r="Q156" s="230">
        <f>2751+3668+4800</f>
        <v>11219</v>
      </c>
      <c r="R156" s="229">
        <f t="shared" si="26"/>
        <v>73119</v>
      </c>
      <c r="S156" s="226">
        <f t="shared" si="31"/>
        <v>13000</v>
      </c>
      <c r="T156" s="400">
        <f t="shared" si="32"/>
        <v>86119</v>
      </c>
      <c r="U156" s="246">
        <f t="shared" si="27"/>
        <v>3000</v>
      </c>
      <c r="V156" s="232">
        <f t="shared" si="28"/>
        <v>1281</v>
      </c>
      <c r="W156" s="233">
        <f t="shared" si="33"/>
        <v>4281</v>
      </c>
      <c r="X156" s="234">
        <f t="shared" si="29"/>
        <v>-11219</v>
      </c>
      <c r="Y156" s="233">
        <f t="shared" si="34"/>
        <v>-8219</v>
      </c>
      <c r="Z156" s="247">
        <v>152</v>
      </c>
      <c r="AA156" s="236">
        <f t="shared" si="30"/>
        <v>0</v>
      </c>
      <c r="AB156" s="172"/>
      <c r="AC156" s="172">
        <v>86119</v>
      </c>
      <c r="AD156" s="172">
        <v>0</v>
      </c>
      <c r="AE156" s="172">
        <v>0</v>
      </c>
      <c r="AF156" s="224"/>
      <c r="AG156" s="224"/>
      <c r="AH156" s="224"/>
      <c r="AI156" s="224"/>
      <c r="AJ156" s="179"/>
      <c r="AK156" s="179"/>
      <c r="AL156" s="179"/>
      <c r="AM156" s="179"/>
      <c r="AN156" s="179"/>
      <c r="AO156" s="179"/>
      <c r="AP156" s="179"/>
      <c r="AQ156" s="179"/>
      <c r="AR156" s="181"/>
      <c r="AS156" s="181"/>
      <c r="AT156" s="181"/>
      <c r="AU156" s="181"/>
    </row>
    <row r="157" spans="1:47" s="182" customFormat="1" ht="11.4" thickTop="1" thickBot="1" x14ac:dyDescent="0.25">
      <c r="A157" s="237">
        <v>153</v>
      </c>
      <c r="B157" s="248" t="s">
        <v>82</v>
      </c>
      <c r="C157" s="224">
        <v>0</v>
      </c>
      <c r="D157" s="225">
        <v>0</v>
      </c>
      <c r="E157" s="241">
        <v>8300</v>
      </c>
      <c r="F157" s="227">
        <v>2000</v>
      </c>
      <c r="G157" s="227">
        <v>8300</v>
      </c>
      <c r="H157" s="227">
        <v>8300</v>
      </c>
      <c r="I157" s="227">
        <v>3500</v>
      </c>
      <c r="J157" s="236">
        <v>1500</v>
      </c>
      <c r="K157" s="249">
        <v>8300</v>
      </c>
      <c r="L157" s="227">
        <v>500</v>
      </c>
      <c r="M157" s="244">
        <v>8500</v>
      </c>
      <c r="N157" s="245">
        <f>4942+4258</f>
        <v>9200</v>
      </c>
      <c r="O157" s="227">
        <v>6000</v>
      </c>
      <c r="P157" s="228">
        <f>7010+2824+1166</f>
        <v>11000</v>
      </c>
      <c r="Q157" s="230">
        <f>3417+4292</f>
        <v>7709</v>
      </c>
      <c r="R157" s="229">
        <f t="shared" si="26"/>
        <v>69609</v>
      </c>
      <c r="S157" s="226">
        <f t="shared" si="31"/>
        <v>13500</v>
      </c>
      <c r="T157" s="400">
        <f t="shared" si="32"/>
        <v>83109</v>
      </c>
      <c r="U157" s="246">
        <f t="shared" si="27"/>
        <v>2500</v>
      </c>
      <c r="V157" s="232">
        <f t="shared" si="28"/>
        <v>4791</v>
      </c>
      <c r="W157" s="233">
        <f t="shared" si="33"/>
        <v>7291</v>
      </c>
      <c r="X157" s="234">
        <f t="shared" si="29"/>
        <v>-7709</v>
      </c>
      <c r="Y157" s="233">
        <f t="shared" si="34"/>
        <v>-5209</v>
      </c>
      <c r="Z157" s="247">
        <v>153</v>
      </c>
      <c r="AA157" s="236">
        <f t="shared" si="30"/>
        <v>0</v>
      </c>
      <c r="AB157" s="172"/>
      <c r="AC157" s="172">
        <v>83109</v>
      </c>
      <c r="AD157" s="172">
        <v>0</v>
      </c>
      <c r="AE157" s="172">
        <v>0</v>
      </c>
      <c r="AF157" s="224"/>
      <c r="AG157" s="224"/>
      <c r="AH157" s="224"/>
      <c r="AI157" s="224"/>
      <c r="AJ157" s="179"/>
      <c r="AK157" s="179"/>
      <c r="AL157" s="179"/>
      <c r="AM157" s="179"/>
      <c r="AN157" s="179"/>
      <c r="AO157" s="179"/>
      <c r="AP157" s="179"/>
      <c r="AQ157" s="179"/>
      <c r="AR157" s="181"/>
      <c r="AS157" s="181"/>
      <c r="AT157" s="181"/>
      <c r="AU157" s="181"/>
    </row>
    <row r="158" spans="1:47" s="182" customFormat="1" ht="11.4" thickTop="1" thickBot="1" x14ac:dyDescent="0.25">
      <c r="A158" s="237">
        <v>154</v>
      </c>
      <c r="B158" s="282" t="s">
        <v>83</v>
      </c>
      <c r="C158" s="224">
        <v>0</v>
      </c>
      <c r="D158" s="225">
        <v>0</v>
      </c>
      <c r="E158" s="241">
        <v>8300</v>
      </c>
      <c r="F158" s="227">
        <v>2000</v>
      </c>
      <c r="G158" s="227">
        <v>8300</v>
      </c>
      <c r="H158" s="227">
        <v>8300</v>
      </c>
      <c r="I158" s="227">
        <v>3500</v>
      </c>
      <c r="J158" s="242">
        <v>4000</v>
      </c>
      <c r="K158" s="249">
        <v>8300</v>
      </c>
      <c r="L158" s="227">
        <v>500</v>
      </c>
      <c r="M158" s="244">
        <v>8500</v>
      </c>
      <c r="N158" s="245">
        <v>9200</v>
      </c>
      <c r="O158" s="227">
        <v>6000</v>
      </c>
      <c r="P158" s="228">
        <v>11000</v>
      </c>
      <c r="Q158" s="230">
        <v>12500</v>
      </c>
      <c r="R158" s="229">
        <f t="shared" si="26"/>
        <v>74400</v>
      </c>
      <c r="S158" s="226">
        <f t="shared" si="31"/>
        <v>16000</v>
      </c>
      <c r="T158" s="400">
        <f t="shared" si="32"/>
        <v>90400</v>
      </c>
      <c r="U158" s="246">
        <f t="shared" si="27"/>
        <v>0</v>
      </c>
      <c r="V158" s="232">
        <f t="shared" si="28"/>
        <v>0</v>
      </c>
      <c r="W158" s="233">
        <f t="shared" si="33"/>
        <v>0</v>
      </c>
      <c r="X158" s="234">
        <f t="shared" si="29"/>
        <v>-12500</v>
      </c>
      <c r="Y158" s="233">
        <f t="shared" si="34"/>
        <v>-12500</v>
      </c>
      <c r="Z158" s="247">
        <v>154</v>
      </c>
      <c r="AA158" s="236">
        <f t="shared" si="30"/>
        <v>12500</v>
      </c>
      <c r="AB158" s="172"/>
      <c r="AC158" s="172">
        <v>77900</v>
      </c>
      <c r="AD158" s="172">
        <v>0</v>
      </c>
      <c r="AE158" s="172">
        <v>0</v>
      </c>
      <c r="AF158" s="224"/>
      <c r="AG158" s="224"/>
      <c r="AH158" s="224"/>
      <c r="AI158" s="224"/>
      <c r="AJ158" s="179"/>
      <c r="AK158" s="179"/>
      <c r="AL158" s="179"/>
      <c r="AM158" s="179"/>
      <c r="AN158" s="179"/>
      <c r="AO158" s="179"/>
      <c r="AP158" s="179"/>
      <c r="AQ158" s="179"/>
      <c r="AR158" s="181"/>
      <c r="AS158" s="181"/>
      <c r="AT158" s="181"/>
      <c r="AU158" s="181"/>
    </row>
    <row r="159" spans="1:47" s="182" customFormat="1" ht="11.4" thickTop="1" thickBot="1" x14ac:dyDescent="0.25">
      <c r="A159" s="237">
        <v>155</v>
      </c>
      <c r="B159" s="248" t="s">
        <v>84</v>
      </c>
      <c r="C159" s="224">
        <v>0</v>
      </c>
      <c r="D159" s="225">
        <v>0</v>
      </c>
      <c r="E159" s="241">
        <v>8300</v>
      </c>
      <c r="F159" s="227">
        <v>2000</v>
      </c>
      <c r="G159" s="227">
        <v>8300</v>
      </c>
      <c r="H159" s="227">
        <v>8300</v>
      </c>
      <c r="I159" s="227">
        <v>3500</v>
      </c>
      <c r="J159" s="236">
        <v>4000</v>
      </c>
      <c r="K159" s="249">
        <v>8300</v>
      </c>
      <c r="L159" s="227">
        <v>500</v>
      </c>
      <c r="M159" s="244">
        <v>8500</v>
      </c>
      <c r="N159" s="227">
        <v>9200</v>
      </c>
      <c r="O159" s="227">
        <v>6000</v>
      </c>
      <c r="P159" s="228">
        <v>11000</v>
      </c>
      <c r="Q159" s="230"/>
      <c r="R159" s="229">
        <f t="shared" si="26"/>
        <v>61900</v>
      </c>
      <c r="S159" s="226">
        <f t="shared" si="31"/>
        <v>16000</v>
      </c>
      <c r="T159" s="400">
        <f t="shared" si="32"/>
        <v>77900</v>
      </c>
      <c r="U159" s="246">
        <f t="shared" si="27"/>
        <v>0</v>
      </c>
      <c r="V159" s="232">
        <f t="shared" si="28"/>
        <v>12500</v>
      </c>
      <c r="W159" s="233">
        <f t="shared" si="33"/>
        <v>12500</v>
      </c>
      <c r="X159" s="234">
        <f t="shared" si="29"/>
        <v>0</v>
      </c>
      <c r="Y159" s="233">
        <f t="shared" si="34"/>
        <v>0</v>
      </c>
      <c r="Z159" s="247">
        <v>155</v>
      </c>
      <c r="AA159" s="236">
        <f t="shared" si="30"/>
        <v>0</v>
      </c>
      <c r="AB159" s="172"/>
      <c r="AC159" s="172">
        <v>77900</v>
      </c>
      <c r="AD159" s="172">
        <v>0</v>
      </c>
      <c r="AE159" s="172">
        <v>0</v>
      </c>
      <c r="AF159" s="224"/>
      <c r="AG159" s="224"/>
      <c r="AH159" s="224"/>
      <c r="AI159" s="224"/>
      <c r="AJ159" s="179"/>
      <c r="AK159" s="179"/>
      <c r="AL159" s="179"/>
      <c r="AM159" s="179"/>
      <c r="AN159" s="179"/>
      <c r="AO159" s="179"/>
      <c r="AP159" s="179"/>
      <c r="AQ159" s="179"/>
      <c r="AR159" s="181"/>
      <c r="AS159" s="181"/>
      <c r="AT159" s="181"/>
      <c r="AU159" s="181"/>
    </row>
    <row r="160" spans="1:47" s="182" customFormat="1" ht="11.4" thickTop="1" thickBot="1" x14ac:dyDescent="0.25">
      <c r="A160" s="237">
        <v>156</v>
      </c>
      <c r="B160" s="248" t="s">
        <v>551</v>
      </c>
      <c r="C160" s="224">
        <v>0</v>
      </c>
      <c r="D160" s="225">
        <v>0</v>
      </c>
      <c r="E160" s="241">
        <v>8300</v>
      </c>
      <c r="F160" s="227">
        <v>2000</v>
      </c>
      <c r="G160" s="227">
        <v>8300</v>
      </c>
      <c r="H160" s="227">
        <v>8300</v>
      </c>
      <c r="I160" s="227">
        <v>3500</v>
      </c>
      <c r="J160" s="236">
        <v>4000</v>
      </c>
      <c r="K160" s="249">
        <v>8300</v>
      </c>
      <c r="L160" s="227">
        <v>500</v>
      </c>
      <c r="M160" s="244">
        <v>8500</v>
      </c>
      <c r="N160" s="245">
        <v>9200</v>
      </c>
      <c r="O160" s="227">
        <v>6000</v>
      </c>
      <c r="P160" s="228">
        <f>6417+3670</f>
        <v>10087</v>
      </c>
      <c r="Q160" s="230">
        <f>917+917+917+1834+5000</f>
        <v>9585</v>
      </c>
      <c r="R160" s="229">
        <f t="shared" si="26"/>
        <v>70572</v>
      </c>
      <c r="S160" s="226">
        <f t="shared" si="31"/>
        <v>16000</v>
      </c>
      <c r="T160" s="400">
        <f t="shared" si="32"/>
        <v>86572</v>
      </c>
      <c r="U160" s="246">
        <f t="shared" si="27"/>
        <v>0</v>
      </c>
      <c r="V160" s="232">
        <f t="shared" si="28"/>
        <v>3828</v>
      </c>
      <c r="W160" s="233">
        <f t="shared" si="33"/>
        <v>3828</v>
      </c>
      <c r="X160" s="234">
        <f t="shared" si="29"/>
        <v>-8672</v>
      </c>
      <c r="Y160" s="233">
        <f t="shared" si="34"/>
        <v>-8672</v>
      </c>
      <c r="Z160" s="247">
        <v>156</v>
      </c>
      <c r="AA160" s="236">
        <f t="shared" si="30"/>
        <v>0</v>
      </c>
      <c r="AB160" s="172"/>
      <c r="AC160" s="172">
        <v>86572</v>
      </c>
      <c r="AD160" s="172">
        <v>0</v>
      </c>
      <c r="AE160" s="172">
        <v>0</v>
      </c>
      <c r="AF160" s="224"/>
      <c r="AG160" s="224"/>
      <c r="AH160" s="172"/>
      <c r="AI160" s="172"/>
      <c r="AJ160" s="179"/>
      <c r="AK160" s="179"/>
      <c r="AL160" s="179"/>
      <c r="AM160" s="179"/>
      <c r="AN160" s="179"/>
      <c r="AO160" s="179"/>
      <c r="AP160" s="179"/>
      <c r="AQ160" s="179"/>
      <c r="AR160" s="181"/>
      <c r="AS160" s="181"/>
      <c r="AT160" s="181"/>
      <c r="AU160" s="181"/>
    </row>
    <row r="161" spans="1:47" s="268" customFormat="1" ht="11.4" thickTop="1" thickBot="1" x14ac:dyDescent="0.25">
      <c r="A161" s="254">
        <v>157</v>
      </c>
      <c r="B161" s="255" t="s">
        <v>85</v>
      </c>
      <c r="C161" s="256">
        <v>0</v>
      </c>
      <c r="D161" s="257">
        <v>0</v>
      </c>
      <c r="E161" s="258">
        <v>8300</v>
      </c>
      <c r="F161" s="259">
        <v>2000</v>
      </c>
      <c r="G161" s="259">
        <v>8300</v>
      </c>
      <c r="H161" s="259">
        <v>8300</v>
      </c>
      <c r="I161" s="259">
        <v>3500</v>
      </c>
      <c r="J161" s="259">
        <v>4000</v>
      </c>
      <c r="K161" s="283">
        <v>8300</v>
      </c>
      <c r="L161" s="259">
        <v>500</v>
      </c>
      <c r="M161" s="260">
        <v>8500</v>
      </c>
      <c r="N161" s="262">
        <v>9200</v>
      </c>
      <c r="O161" s="259">
        <v>6000</v>
      </c>
      <c r="P161" s="273">
        <f>5500+5500</f>
        <v>11000</v>
      </c>
      <c r="Q161" s="257">
        <f>3250+5084</f>
        <v>8334</v>
      </c>
      <c r="R161" s="418">
        <f t="shared" si="26"/>
        <v>70234</v>
      </c>
      <c r="S161" s="369">
        <f t="shared" si="31"/>
        <v>16000</v>
      </c>
      <c r="T161" s="457">
        <f t="shared" si="32"/>
        <v>86234</v>
      </c>
      <c r="U161" s="263">
        <f t="shared" si="27"/>
        <v>0</v>
      </c>
      <c r="V161" s="264">
        <f t="shared" si="28"/>
        <v>4166</v>
      </c>
      <c r="W161" s="265">
        <f t="shared" si="33"/>
        <v>4166</v>
      </c>
      <c r="X161" s="370">
        <f t="shared" si="29"/>
        <v>-8334</v>
      </c>
      <c r="Y161" s="265">
        <f t="shared" si="34"/>
        <v>-8334</v>
      </c>
      <c r="Z161" s="266">
        <v>157</v>
      </c>
      <c r="AA161" s="259">
        <f t="shared" si="30"/>
        <v>0</v>
      </c>
      <c r="AB161" s="267"/>
      <c r="AC161" s="267">
        <v>86234</v>
      </c>
      <c r="AD161" s="267">
        <v>0</v>
      </c>
      <c r="AE161" s="267">
        <v>0</v>
      </c>
      <c r="AF161" s="256"/>
      <c r="AG161" s="256"/>
      <c r="AH161" s="283"/>
      <c r="AI161" s="283"/>
      <c r="AJ161" s="371"/>
      <c r="AK161" s="371"/>
      <c r="AL161" s="371"/>
      <c r="AM161" s="371"/>
      <c r="AN161" s="371"/>
      <c r="AO161" s="371"/>
      <c r="AP161" s="371"/>
      <c r="AQ161" s="371"/>
    </row>
    <row r="162" spans="1:47" s="268" customFormat="1" ht="11.4" thickTop="1" thickBot="1" x14ac:dyDescent="0.25">
      <c r="A162" s="254">
        <v>158</v>
      </c>
      <c r="B162" s="255" t="s">
        <v>85</v>
      </c>
      <c r="C162" s="256">
        <v>0</v>
      </c>
      <c r="D162" s="257">
        <v>0</v>
      </c>
      <c r="E162" s="258">
        <v>8300</v>
      </c>
      <c r="F162" s="259">
        <v>2000</v>
      </c>
      <c r="G162" s="259">
        <v>8300</v>
      </c>
      <c r="H162" s="259">
        <v>8300</v>
      </c>
      <c r="I162" s="259">
        <v>3500</v>
      </c>
      <c r="J162" s="259">
        <v>4000</v>
      </c>
      <c r="K162" s="283">
        <v>8300</v>
      </c>
      <c r="L162" s="259">
        <v>500</v>
      </c>
      <c r="M162" s="260">
        <v>8500</v>
      </c>
      <c r="N162" s="262">
        <v>9200</v>
      </c>
      <c r="O162" s="259">
        <v>6000</v>
      </c>
      <c r="P162" s="273">
        <f>5500+5500</f>
        <v>11000</v>
      </c>
      <c r="Q162" s="257">
        <f>3250+5084</f>
        <v>8334</v>
      </c>
      <c r="R162" s="418">
        <f t="shared" si="26"/>
        <v>70234</v>
      </c>
      <c r="S162" s="369">
        <f t="shared" si="31"/>
        <v>16000</v>
      </c>
      <c r="T162" s="457">
        <f t="shared" si="32"/>
        <v>86234</v>
      </c>
      <c r="U162" s="263">
        <f t="shared" si="27"/>
        <v>0</v>
      </c>
      <c r="V162" s="264">
        <f t="shared" si="28"/>
        <v>4166</v>
      </c>
      <c r="W162" s="265">
        <f t="shared" si="33"/>
        <v>4166</v>
      </c>
      <c r="X162" s="370">
        <f t="shared" si="29"/>
        <v>-8334</v>
      </c>
      <c r="Y162" s="265">
        <f t="shared" si="34"/>
        <v>-8334</v>
      </c>
      <c r="Z162" s="266">
        <v>158</v>
      </c>
      <c r="AA162" s="259">
        <f t="shared" si="30"/>
        <v>0</v>
      </c>
      <c r="AB162" s="267"/>
      <c r="AC162" s="267">
        <v>86234</v>
      </c>
      <c r="AD162" s="267">
        <v>0</v>
      </c>
      <c r="AE162" s="267">
        <v>0</v>
      </c>
      <c r="AF162" s="256"/>
      <c r="AG162" s="256"/>
      <c r="AH162" s="256"/>
      <c r="AI162" s="256"/>
      <c r="AJ162" s="371"/>
      <c r="AK162" s="371"/>
      <c r="AL162" s="371"/>
      <c r="AM162" s="371"/>
      <c r="AN162" s="371"/>
      <c r="AO162" s="371"/>
      <c r="AP162" s="371"/>
      <c r="AQ162" s="371"/>
    </row>
    <row r="163" spans="1:47" s="268" customFormat="1" ht="11.4" thickTop="1" thickBot="1" x14ac:dyDescent="0.25">
      <c r="A163" s="254">
        <v>159</v>
      </c>
      <c r="B163" s="255" t="s">
        <v>85</v>
      </c>
      <c r="C163" s="256">
        <v>0</v>
      </c>
      <c r="D163" s="257">
        <v>0</v>
      </c>
      <c r="E163" s="258">
        <v>8300</v>
      </c>
      <c r="F163" s="259">
        <v>2000</v>
      </c>
      <c r="G163" s="259">
        <v>8300</v>
      </c>
      <c r="H163" s="259">
        <v>8300</v>
      </c>
      <c r="I163" s="259">
        <v>3500</v>
      </c>
      <c r="J163" s="259">
        <v>4000</v>
      </c>
      <c r="K163" s="283">
        <v>8300</v>
      </c>
      <c r="L163" s="259">
        <v>500</v>
      </c>
      <c r="M163" s="260">
        <v>8500</v>
      </c>
      <c r="N163" s="262">
        <v>9200</v>
      </c>
      <c r="O163" s="259">
        <v>6000</v>
      </c>
      <c r="P163" s="273">
        <f>5500+5500</f>
        <v>11000</v>
      </c>
      <c r="Q163" s="257">
        <f>3250+5084</f>
        <v>8334</v>
      </c>
      <c r="R163" s="418">
        <f t="shared" si="26"/>
        <v>70234</v>
      </c>
      <c r="S163" s="369">
        <f t="shared" si="31"/>
        <v>16000</v>
      </c>
      <c r="T163" s="457">
        <f t="shared" si="32"/>
        <v>86234</v>
      </c>
      <c r="U163" s="263">
        <f t="shared" si="27"/>
        <v>0</v>
      </c>
      <c r="V163" s="264">
        <f t="shared" si="28"/>
        <v>4166</v>
      </c>
      <c r="W163" s="265">
        <f t="shared" si="33"/>
        <v>4166</v>
      </c>
      <c r="X163" s="370">
        <f t="shared" si="29"/>
        <v>-8334</v>
      </c>
      <c r="Y163" s="265">
        <f t="shared" si="34"/>
        <v>-8334</v>
      </c>
      <c r="Z163" s="266">
        <v>159</v>
      </c>
      <c r="AA163" s="259">
        <f t="shared" si="30"/>
        <v>0</v>
      </c>
      <c r="AB163" s="267"/>
      <c r="AC163" s="267">
        <v>86234</v>
      </c>
      <c r="AD163" s="267">
        <v>0</v>
      </c>
      <c r="AE163" s="267">
        <v>0</v>
      </c>
      <c r="AF163" s="256"/>
      <c r="AG163" s="256"/>
      <c r="AH163" s="256"/>
      <c r="AI163" s="256"/>
      <c r="AJ163" s="371"/>
      <c r="AK163" s="371"/>
      <c r="AL163" s="371"/>
      <c r="AM163" s="371"/>
      <c r="AN163" s="371"/>
      <c r="AO163" s="371"/>
      <c r="AP163" s="371"/>
      <c r="AQ163" s="371"/>
    </row>
    <row r="164" spans="1:47" s="182" customFormat="1" ht="11.4" thickTop="1" thickBot="1" x14ac:dyDescent="0.25">
      <c r="A164" s="237">
        <v>160</v>
      </c>
      <c r="B164" s="248" t="s">
        <v>86</v>
      </c>
      <c r="C164" s="224">
        <v>0</v>
      </c>
      <c r="D164" s="225">
        <v>0</v>
      </c>
      <c r="E164" s="241">
        <v>8300</v>
      </c>
      <c r="F164" s="236">
        <v>2000</v>
      </c>
      <c r="G164" s="227">
        <v>8300</v>
      </c>
      <c r="H164" s="227">
        <v>8300</v>
      </c>
      <c r="I164" s="227">
        <v>3500</v>
      </c>
      <c r="J164" s="236">
        <v>4000</v>
      </c>
      <c r="K164" s="249">
        <v>8300</v>
      </c>
      <c r="L164" s="227">
        <v>500</v>
      </c>
      <c r="M164" s="244">
        <v>8500</v>
      </c>
      <c r="N164" s="245">
        <v>9200</v>
      </c>
      <c r="O164" s="227">
        <v>6000</v>
      </c>
      <c r="P164" s="228">
        <v>11000</v>
      </c>
      <c r="Q164" s="230">
        <f>6500+6000</f>
        <v>12500</v>
      </c>
      <c r="R164" s="229">
        <f t="shared" si="26"/>
        <v>74400</v>
      </c>
      <c r="S164" s="226">
        <f t="shared" si="31"/>
        <v>16000</v>
      </c>
      <c r="T164" s="400">
        <f t="shared" si="32"/>
        <v>90400</v>
      </c>
      <c r="U164" s="246">
        <f t="shared" si="27"/>
        <v>0</v>
      </c>
      <c r="V164" s="232">
        <f t="shared" si="28"/>
        <v>0</v>
      </c>
      <c r="W164" s="233">
        <f t="shared" si="33"/>
        <v>0</v>
      </c>
      <c r="X164" s="234">
        <f t="shared" si="29"/>
        <v>-12500</v>
      </c>
      <c r="Y164" s="233">
        <f t="shared" si="34"/>
        <v>-12500</v>
      </c>
      <c r="Z164" s="247">
        <v>160</v>
      </c>
      <c r="AA164" s="236">
        <f t="shared" si="30"/>
        <v>0</v>
      </c>
      <c r="AB164" s="172"/>
      <c r="AC164" s="172">
        <v>90400</v>
      </c>
      <c r="AD164" s="172">
        <v>0</v>
      </c>
      <c r="AE164" s="172">
        <v>0</v>
      </c>
      <c r="AF164" s="224"/>
      <c r="AG164" s="224"/>
      <c r="AH164" s="224"/>
      <c r="AI164" s="224"/>
      <c r="AJ164" s="179"/>
      <c r="AK164" s="179"/>
      <c r="AL164" s="179"/>
      <c r="AM164" s="179"/>
      <c r="AN164" s="179"/>
      <c r="AO164" s="179"/>
      <c r="AP164" s="179"/>
      <c r="AQ164" s="179"/>
      <c r="AR164" s="181"/>
      <c r="AS164" s="181"/>
      <c r="AT164" s="181"/>
      <c r="AU164" s="181"/>
    </row>
    <row r="165" spans="1:47" s="182" customFormat="1" ht="11.4" thickTop="1" thickBot="1" x14ac:dyDescent="0.25">
      <c r="A165" s="237">
        <v>161</v>
      </c>
      <c r="B165" s="248" t="s">
        <v>128</v>
      </c>
      <c r="C165" s="224">
        <v>0</v>
      </c>
      <c r="D165" s="225">
        <v>0</v>
      </c>
      <c r="E165" s="241">
        <v>8300</v>
      </c>
      <c r="F165" s="236">
        <v>2000</v>
      </c>
      <c r="G165" s="227">
        <v>8300</v>
      </c>
      <c r="H165" s="227">
        <v>8300</v>
      </c>
      <c r="I165" s="227">
        <v>3500</v>
      </c>
      <c r="J165" s="242">
        <v>4000</v>
      </c>
      <c r="K165" s="249">
        <v>8300</v>
      </c>
      <c r="L165" s="227">
        <v>500</v>
      </c>
      <c r="M165" s="244">
        <v>8500</v>
      </c>
      <c r="N165" s="245">
        <v>9200</v>
      </c>
      <c r="O165" s="227">
        <v>6000</v>
      </c>
      <c r="P165" s="228">
        <v>11000</v>
      </c>
      <c r="Q165" s="230">
        <f>7292+2000+2000+200</f>
        <v>11492</v>
      </c>
      <c r="R165" s="229">
        <f t="shared" si="26"/>
        <v>73392</v>
      </c>
      <c r="S165" s="226">
        <f t="shared" si="31"/>
        <v>16000</v>
      </c>
      <c r="T165" s="400">
        <f t="shared" si="32"/>
        <v>89392</v>
      </c>
      <c r="U165" s="246">
        <f t="shared" si="27"/>
        <v>0</v>
      </c>
      <c r="V165" s="232">
        <f t="shared" si="28"/>
        <v>1008</v>
      </c>
      <c r="W165" s="233">
        <f t="shared" si="33"/>
        <v>1008</v>
      </c>
      <c r="X165" s="234">
        <f t="shared" si="29"/>
        <v>-11492</v>
      </c>
      <c r="Y165" s="233">
        <f t="shared" si="34"/>
        <v>-11492</v>
      </c>
      <c r="Z165" s="247">
        <v>161</v>
      </c>
      <c r="AA165" s="236">
        <f t="shared" si="30"/>
        <v>0</v>
      </c>
      <c r="AB165" s="172"/>
      <c r="AC165" s="172">
        <v>89392</v>
      </c>
      <c r="AD165" s="172">
        <v>0</v>
      </c>
      <c r="AE165" s="172">
        <v>0</v>
      </c>
      <c r="AF165" s="224"/>
      <c r="AG165" s="224"/>
      <c r="AH165" s="224"/>
      <c r="AI165" s="224"/>
      <c r="AJ165" s="179"/>
      <c r="AK165" s="179"/>
      <c r="AL165" s="179"/>
      <c r="AM165" s="179"/>
      <c r="AN165" s="179"/>
      <c r="AO165" s="179"/>
      <c r="AP165" s="179"/>
      <c r="AQ165" s="179"/>
      <c r="AR165" s="181"/>
      <c r="AS165" s="181"/>
      <c r="AT165" s="181"/>
      <c r="AU165" s="181"/>
    </row>
    <row r="166" spans="1:47" s="182" customFormat="1" ht="11.4" thickTop="1" thickBot="1" x14ac:dyDescent="0.25">
      <c r="A166" s="237">
        <v>162</v>
      </c>
      <c r="B166" s="248" t="s">
        <v>552</v>
      </c>
      <c r="C166" s="224">
        <v>0</v>
      </c>
      <c r="D166" s="225">
        <v>0</v>
      </c>
      <c r="E166" s="241">
        <v>8300</v>
      </c>
      <c r="F166" s="236">
        <v>2000</v>
      </c>
      <c r="G166" s="227">
        <v>8300</v>
      </c>
      <c r="H166" s="227">
        <v>8300</v>
      </c>
      <c r="I166" s="227">
        <v>3500</v>
      </c>
      <c r="J166" s="236">
        <v>4000</v>
      </c>
      <c r="K166" s="249">
        <v>8300</v>
      </c>
      <c r="L166" s="227">
        <v>500</v>
      </c>
      <c r="M166" s="244">
        <v>8500</v>
      </c>
      <c r="N166" s="245">
        <v>9200</v>
      </c>
      <c r="O166" s="227">
        <f>4000+2000</f>
        <v>6000</v>
      </c>
      <c r="P166" s="228">
        <v>11000</v>
      </c>
      <c r="Q166" s="230">
        <f>6500+6000</f>
        <v>12500</v>
      </c>
      <c r="R166" s="229">
        <f t="shared" si="26"/>
        <v>74400</v>
      </c>
      <c r="S166" s="226">
        <f t="shared" si="31"/>
        <v>16000</v>
      </c>
      <c r="T166" s="400">
        <f t="shared" si="32"/>
        <v>90400</v>
      </c>
      <c r="U166" s="246">
        <f t="shared" si="27"/>
        <v>0</v>
      </c>
      <c r="V166" s="232">
        <f t="shared" si="28"/>
        <v>0</v>
      </c>
      <c r="W166" s="233">
        <f t="shared" si="33"/>
        <v>0</v>
      </c>
      <c r="X166" s="234">
        <f t="shared" si="29"/>
        <v>-12500</v>
      </c>
      <c r="Y166" s="233">
        <f t="shared" si="34"/>
        <v>-12500</v>
      </c>
      <c r="Z166" s="247">
        <v>162</v>
      </c>
      <c r="AA166" s="236">
        <f t="shared" si="30"/>
        <v>0</v>
      </c>
      <c r="AB166" s="172"/>
      <c r="AC166" s="172">
        <v>90400</v>
      </c>
      <c r="AD166" s="172">
        <v>0</v>
      </c>
      <c r="AE166" s="172">
        <v>0</v>
      </c>
      <c r="AF166" s="224"/>
      <c r="AG166" s="224"/>
      <c r="AH166" s="224"/>
      <c r="AI166" s="224"/>
      <c r="AJ166" s="179"/>
      <c r="AK166" s="179"/>
      <c r="AL166" s="179"/>
      <c r="AM166" s="179"/>
      <c r="AN166" s="179"/>
      <c r="AO166" s="179"/>
      <c r="AP166" s="179"/>
      <c r="AQ166" s="179"/>
      <c r="AR166" s="181"/>
      <c r="AS166" s="181"/>
      <c r="AT166" s="181"/>
      <c r="AU166" s="181"/>
    </row>
    <row r="167" spans="1:47" s="268" customFormat="1" ht="11.4" thickTop="1" thickBot="1" x14ac:dyDescent="0.25">
      <c r="A167" s="254">
        <v>163</v>
      </c>
      <c r="B167" s="255" t="s">
        <v>111</v>
      </c>
      <c r="C167" s="256">
        <v>0</v>
      </c>
      <c r="D167" s="257">
        <v>0</v>
      </c>
      <c r="E167" s="258">
        <v>8300</v>
      </c>
      <c r="F167" s="259">
        <v>2000</v>
      </c>
      <c r="G167" s="259">
        <v>8300</v>
      </c>
      <c r="H167" s="259">
        <v>8300</v>
      </c>
      <c r="I167" s="259">
        <v>3500</v>
      </c>
      <c r="J167" s="259">
        <v>4000</v>
      </c>
      <c r="K167" s="283">
        <v>8300</v>
      </c>
      <c r="L167" s="259">
        <v>500</v>
      </c>
      <c r="M167" s="260">
        <v>8500</v>
      </c>
      <c r="N167" s="262">
        <v>9200</v>
      </c>
      <c r="O167" s="259">
        <v>6000</v>
      </c>
      <c r="P167" s="273">
        <f>10084+916</f>
        <v>11000</v>
      </c>
      <c r="Q167" s="257">
        <v>12500</v>
      </c>
      <c r="R167" s="418">
        <f t="shared" si="26"/>
        <v>74400</v>
      </c>
      <c r="S167" s="369">
        <f t="shared" si="31"/>
        <v>16000</v>
      </c>
      <c r="T167" s="457">
        <f t="shared" si="32"/>
        <v>90400</v>
      </c>
      <c r="U167" s="263">
        <f t="shared" si="27"/>
        <v>0</v>
      </c>
      <c r="V167" s="264">
        <f t="shared" si="28"/>
        <v>0</v>
      </c>
      <c r="W167" s="265">
        <f t="shared" si="33"/>
        <v>0</v>
      </c>
      <c r="X167" s="370">
        <f t="shared" si="29"/>
        <v>-12500</v>
      </c>
      <c r="Y167" s="265">
        <f t="shared" si="34"/>
        <v>-12500</v>
      </c>
      <c r="Z167" s="266">
        <v>163</v>
      </c>
      <c r="AA167" s="259">
        <f t="shared" si="30"/>
        <v>12500</v>
      </c>
      <c r="AB167" s="267"/>
      <c r="AC167" s="267">
        <v>77900</v>
      </c>
      <c r="AD167" s="267">
        <v>0</v>
      </c>
      <c r="AE167" s="267">
        <v>0</v>
      </c>
      <c r="AF167" s="256"/>
      <c r="AG167" s="256"/>
      <c r="AH167" s="256"/>
      <c r="AI167" s="256"/>
      <c r="AJ167" s="371"/>
      <c r="AK167" s="371"/>
      <c r="AL167" s="371"/>
      <c r="AM167" s="371"/>
      <c r="AN167" s="371"/>
      <c r="AO167" s="371"/>
      <c r="AP167" s="371"/>
      <c r="AQ167" s="371"/>
    </row>
    <row r="168" spans="1:47" s="268" customFormat="1" ht="11.4" thickTop="1" thickBot="1" x14ac:dyDescent="0.25">
      <c r="A168" s="254">
        <v>164</v>
      </c>
      <c r="B168" s="255" t="s">
        <v>111</v>
      </c>
      <c r="C168" s="258">
        <v>0</v>
      </c>
      <c r="D168" s="257">
        <v>0</v>
      </c>
      <c r="E168" s="258">
        <v>8300</v>
      </c>
      <c r="F168" s="259">
        <v>2000</v>
      </c>
      <c r="G168" s="259">
        <v>8300</v>
      </c>
      <c r="H168" s="259">
        <v>8300</v>
      </c>
      <c r="I168" s="259">
        <v>3500</v>
      </c>
      <c r="J168" s="259">
        <v>4000</v>
      </c>
      <c r="K168" s="283">
        <v>8300</v>
      </c>
      <c r="L168" s="259">
        <v>500</v>
      </c>
      <c r="M168" s="260">
        <v>8500</v>
      </c>
      <c r="N168" s="262">
        <v>9200</v>
      </c>
      <c r="O168" s="259">
        <v>6000</v>
      </c>
      <c r="P168" s="273">
        <f>10084+916</f>
        <v>11000</v>
      </c>
      <c r="Q168" s="257">
        <v>12500</v>
      </c>
      <c r="R168" s="418">
        <f t="shared" si="26"/>
        <v>74400</v>
      </c>
      <c r="S168" s="369">
        <f t="shared" si="31"/>
        <v>16000</v>
      </c>
      <c r="T168" s="457">
        <f t="shared" si="32"/>
        <v>90400</v>
      </c>
      <c r="U168" s="284">
        <f t="shared" si="27"/>
        <v>0</v>
      </c>
      <c r="V168" s="285">
        <f t="shared" si="28"/>
        <v>0</v>
      </c>
      <c r="W168" s="286">
        <f t="shared" si="33"/>
        <v>0</v>
      </c>
      <c r="X168" s="370">
        <f t="shared" si="29"/>
        <v>-12500</v>
      </c>
      <c r="Y168" s="286">
        <f t="shared" si="34"/>
        <v>-12500</v>
      </c>
      <c r="Z168" s="266">
        <v>164</v>
      </c>
      <c r="AA168" s="259">
        <f t="shared" si="30"/>
        <v>12500</v>
      </c>
      <c r="AB168" s="267"/>
      <c r="AC168" s="267">
        <v>77900</v>
      </c>
      <c r="AD168" s="267">
        <v>0</v>
      </c>
      <c r="AE168" s="267">
        <v>0</v>
      </c>
      <c r="AF168" s="256"/>
      <c r="AG168" s="256"/>
      <c r="AH168" s="256"/>
      <c r="AI168" s="256"/>
      <c r="AJ168" s="371"/>
      <c r="AK168" s="371"/>
      <c r="AL168" s="371"/>
      <c r="AM168" s="371"/>
      <c r="AN168" s="371"/>
      <c r="AO168" s="371"/>
      <c r="AP168" s="371"/>
      <c r="AQ168" s="371"/>
    </row>
    <row r="169" spans="1:47" s="182" customFormat="1" ht="10.199999999999999" x14ac:dyDescent="0.2">
      <c r="B169" s="287" t="s">
        <v>407</v>
      </c>
      <c r="C169" s="111">
        <f>C$172-C$171</f>
        <v>10727000</v>
      </c>
      <c r="D169" s="288">
        <f>D$172-D$171</f>
        <v>4913900</v>
      </c>
      <c r="E169" s="289">
        <f t="shared" ref="E169:S169" si="35">SUM(E5:E168)</f>
        <v>1344600</v>
      </c>
      <c r="F169" s="290">
        <f t="shared" si="35"/>
        <v>324000</v>
      </c>
      <c r="G169" s="290">
        <f t="shared" si="35"/>
        <v>1344600</v>
      </c>
      <c r="H169" s="290">
        <f t="shared" si="35"/>
        <v>1337300</v>
      </c>
      <c r="I169" s="290">
        <f t="shared" si="35"/>
        <v>558700</v>
      </c>
      <c r="J169" s="290">
        <f t="shared" si="35"/>
        <v>562664.4</v>
      </c>
      <c r="K169" s="291">
        <f t="shared" si="35"/>
        <v>1344600</v>
      </c>
      <c r="L169" s="290">
        <f t="shared" si="35"/>
        <v>76600</v>
      </c>
      <c r="M169" s="292">
        <f t="shared" si="35"/>
        <v>1376999</v>
      </c>
      <c r="N169" s="290">
        <f>SUM(N5:N168)</f>
        <v>1469602</v>
      </c>
      <c r="O169" s="290">
        <f>SUM(O5:O168)</f>
        <v>921799</v>
      </c>
      <c r="P169" s="293">
        <f>SUM(P5:P168)</f>
        <v>1682271</v>
      </c>
      <c r="Q169" s="293">
        <f>SUM(Q5:Q168)</f>
        <v>1658860.0899999999</v>
      </c>
      <c r="R169" s="294">
        <f>SUM(R5:R168)</f>
        <v>11558832.09</v>
      </c>
      <c r="S169" s="292">
        <f t="shared" si="35"/>
        <v>2443763.4</v>
      </c>
      <c r="T169" s="112">
        <f>SUM(T5:T168)</f>
        <v>14002595.49</v>
      </c>
      <c r="U169" s="295"/>
      <c r="Z169" s="296"/>
      <c r="AA169" s="171">
        <f>SUM(AA5:AA168)</f>
        <v>507546.01</v>
      </c>
      <c r="AB169" s="172"/>
      <c r="AC169" s="172"/>
      <c r="AD169" s="173"/>
      <c r="AE169" s="173"/>
      <c r="AF169" s="174">
        <f>SUM(AF5:AF168)</f>
        <v>18200</v>
      </c>
      <c r="AG169" s="171">
        <f>SUM(AG5:AG168)</f>
        <v>26296.93</v>
      </c>
      <c r="AH169" s="171">
        <f t="shared" ref="AH169:AI169" si="36">SUM(AH5:AH168)</f>
        <v>4126.99</v>
      </c>
      <c r="AI169" s="171">
        <f t="shared" si="36"/>
        <v>25000</v>
      </c>
      <c r="AJ169" s="201">
        <f>SUM(AJ119:AJ120)</f>
        <v>8500</v>
      </c>
      <c r="AK169" s="179"/>
      <c r="AL169" s="179"/>
      <c r="AM169" s="179"/>
      <c r="AN169" s="179"/>
      <c r="AO169" s="179"/>
      <c r="AP169" s="179"/>
      <c r="AQ169" s="179"/>
      <c r="AR169" s="181"/>
      <c r="AS169" s="181"/>
      <c r="AT169" s="181"/>
      <c r="AU169" s="181"/>
    </row>
    <row r="170" spans="1:47" s="182" customFormat="1" ht="10.199999999999999" x14ac:dyDescent="0.2">
      <c r="A170" s="297"/>
      <c r="B170" s="298" t="s">
        <v>258</v>
      </c>
      <c r="C170" s="299"/>
      <c r="D170" s="288"/>
      <c r="E170" s="300">
        <f t="shared" ref="E170:J170" si="37">E169/E172</f>
        <v>0.99386503067484666</v>
      </c>
      <c r="F170" s="300">
        <f t="shared" si="37"/>
        <v>0.99386503067484666</v>
      </c>
      <c r="G170" s="300">
        <f t="shared" si="37"/>
        <v>0.99386503067484666</v>
      </c>
      <c r="H170" s="300">
        <f t="shared" si="37"/>
        <v>0.98846921428043466</v>
      </c>
      <c r="I170" s="300">
        <f t="shared" si="37"/>
        <v>0.97931638913234009</v>
      </c>
      <c r="J170" s="300">
        <f t="shared" si="37"/>
        <v>0.86298220858895713</v>
      </c>
      <c r="K170" s="300">
        <f>K169/K172</f>
        <v>0.99386503067484666</v>
      </c>
      <c r="L170" s="300">
        <f t="shared" ref="L170:T170" si="38">L169/L172</f>
        <v>0.93987730061349695</v>
      </c>
      <c r="M170" s="300">
        <f t="shared" si="38"/>
        <v>0.99386430891374955</v>
      </c>
      <c r="N170" s="300">
        <f t="shared" si="38"/>
        <v>0.97999599893304878</v>
      </c>
      <c r="O170" s="300">
        <f t="shared" si="38"/>
        <v>0.94253476482617582</v>
      </c>
      <c r="P170" s="301">
        <f>P169/P172</f>
        <v>0.93824372559955382</v>
      </c>
      <c r="Q170" s="301">
        <f>Q169/Q172</f>
        <v>0.81416446134969322</v>
      </c>
      <c r="R170" s="302">
        <f t="shared" si="38"/>
        <v>0.95313279982188792</v>
      </c>
      <c r="S170" s="300">
        <f t="shared" si="38"/>
        <v>0.93702584355828222</v>
      </c>
      <c r="T170" s="458">
        <f t="shared" si="38"/>
        <v>0.95028201110266575</v>
      </c>
      <c r="U170" s="302"/>
      <c r="V170" s="300"/>
      <c r="W170" s="300"/>
      <c r="X170" s="300"/>
      <c r="Y170" s="300"/>
      <c r="Z170" s="296"/>
      <c r="AA170" s="174"/>
      <c r="AB170" s="172"/>
      <c r="AC170" s="172"/>
      <c r="AD170" s="173"/>
      <c r="AE170" s="173"/>
      <c r="AF170" s="179"/>
      <c r="AG170" s="179"/>
      <c r="AH170" s="179"/>
      <c r="AI170" s="351" t="s">
        <v>408</v>
      </c>
      <c r="AJ170" s="179"/>
      <c r="AK170" s="179"/>
      <c r="AL170" s="179"/>
      <c r="AM170" s="179"/>
      <c r="AN170" s="179"/>
      <c r="AO170" s="179"/>
      <c r="AP170" s="179"/>
      <c r="AQ170" s="179"/>
      <c r="AR170" s="181"/>
      <c r="AS170" s="181"/>
      <c r="AT170" s="181"/>
      <c r="AU170" s="181"/>
    </row>
    <row r="171" spans="1:47" s="182" customFormat="1" ht="10.199999999999999" x14ac:dyDescent="0.2">
      <c r="A171" s="303" t="s">
        <v>160</v>
      </c>
      <c r="B171" s="304"/>
      <c r="C171" s="305">
        <f>SUM(C5:C168)</f>
        <v>31000</v>
      </c>
      <c r="D171" s="288">
        <f>SUM(D5:D168)</f>
        <v>8700</v>
      </c>
      <c r="E171" s="306">
        <f t="shared" ref="E171" si="39">E172-E169</f>
        <v>8300</v>
      </c>
      <c r="F171" s="307">
        <f t="shared" ref="F171" si="40">F172-F169</f>
        <v>2000</v>
      </c>
      <c r="G171" s="307">
        <f t="shared" ref="G171" si="41">G172-G169</f>
        <v>8300</v>
      </c>
      <c r="H171" s="307">
        <f t="shared" ref="H171" si="42">H172-H169</f>
        <v>15600</v>
      </c>
      <c r="I171" s="307">
        <f t="shared" ref="I171" si="43">I172-I169</f>
        <v>11800</v>
      </c>
      <c r="J171" s="307">
        <f t="shared" ref="J171" si="44">J172-J169</f>
        <v>89335.599999999977</v>
      </c>
      <c r="K171" s="308">
        <f t="shared" ref="K171" si="45">K172-K169</f>
        <v>8300</v>
      </c>
      <c r="L171" s="307">
        <f t="shared" ref="L171" si="46">L172-L169</f>
        <v>4900</v>
      </c>
      <c r="M171" s="309">
        <f t="shared" ref="M171:T171" si="47">M172-M169</f>
        <v>8501</v>
      </c>
      <c r="N171" s="307">
        <f t="shared" si="47"/>
        <v>29998</v>
      </c>
      <c r="O171" s="307">
        <f t="shared" si="47"/>
        <v>56201</v>
      </c>
      <c r="P171" s="306">
        <f>P172-P169</f>
        <v>110729</v>
      </c>
      <c r="Q171" s="306">
        <f>Q172-Q169</f>
        <v>378639.91000000015</v>
      </c>
      <c r="R171" s="310">
        <f t="shared" si="47"/>
        <v>568367.91000000015</v>
      </c>
      <c r="S171" s="309">
        <f t="shared" si="47"/>
        <v>164236.60000000009</v>
      </c>
      <c r="T171" s="311">
        <f t="shared" si="47"/>
        <v>732604.50999999978</v>
      </c>
      <c r="U171" s="312">
        <f>SUM(U5:U168)</f>
        <v>195236.6</v>
      </c>
      <c r="V171" s="313">
        <f>SUM(V5:V168)</f>
        <v>641361</v>
      </c>
      <c r="W171" s="314">
        <f>SUM(W5:W168)</f>
        <v>836597.6</v>
      </c>
      <c r="X171" s="314"/>
      <c r="Y171" s="314"/>
      <c r="Z171" s="296"/>
      <c r="AA171" s="172"/>
      <c r="AB171" s="172"/>
      <c r="AC171" s="172"/>
      <c r="AD171" s="173"/>
      <c r="AE171" s="173"/>
      <c r="AF171" s="179"/>
      <c r="AG171" s="179"/>
      <c r="AH171" s="179"/>
      <c r="AI171" s="179"/>
      <c r="AJ171" s="179"/>
      <c r="AK171" s="179"/>
      <c r="AL171" s="179"/>
      <c r="AM171" s="179"/>
      <c r="AN171" s="179"/>
      <c r="AO171" s="179"/>
      <c r="AP171" s="179"/>
      <c r="AQ171" s="179"/>
      <c r="AR171" s="181"/>
      <c r="AS171" s="181"/>
      <c r="AT171" s="181"/>
      <c r="AU171" s="181"/>
    </row>
    <row r="172" spans="1:47" s="182" customFormat="1" ht="15" customHeight="1" x14ac:dyDescent="0.2">
      <c r="A172" s="315" t="s">
        <v>161</v>
      </c>
      <c r="B172" s="316"/>
      <c r="C172" s="305">
        <f>C173*163</f>
        <v>10758000</v>
      </c>
      <c r="D172" s="288">
        <f>D173*163</f>
        <v>4922600</v>
      </c>
      <c r="E172" s="305">
        <f t="shared" ref="E172:T172" si="48">163*E173</f>
        <v>1352900</v>
      </c>
      <c r="F172" s="174">
        <f t="shared" si="48"/>
        <v>326000</v>
      </c>
      <c r="G172" s="174">
        <f t="shared" si="48"/>
        <v>1352900</v>
      </c>
      <c r="H172" s="174">
        <f t="shared" si="48"/>
        <v>1352900</v>
      </c>
      <c r="I172" s="174">
        <f t="shared" si="48"/>
        <v>570500</v>
      </c>
      <c r="J172" s="174">
        <f t="shared" si="48"/>
        <v>652000</v>
      </c>
      <c r="K172" s="171">
        <f t="shared" si="48"/>
        <v>1352900</v>
      </c>
      <c r="L172" s="174">
        <f t="shared" si="48"/>
        <v>81500</v>
      </c>
      <c r="M172" s="317">
        <f t="shared" si="48"/>
        <v>1385500</v>
      </c>
      <c r="N172" s="317">
        <f t="shared" si="48"/>
        <v>1499600</v>
      </c>
      <c r="O172" s="174">
        <f t="shared" si="48"/>
        <v>978000</v>
      </c>
      <c r="P172" s="318">
        <f>163*P173</f>
        <v>1793000</v>
      </c>
      <c r="Q172" s="318">
        <f>163*СдатьЗаТекущийПериодНаНачалоМесяца</f>
        <v>2037500</v>
      </c>
      <c r="R172" s="319">
        <f t="shared" si="48"/>
        <v>12127200</v>
      </c>
      <c r="S172" s="317">
        <f t="shared" si="48"/>
        <v>2608000</v>
      </c>
      <c r="T172" s="459">
        <f t="shared" si="48"/>
        <v>14735200</v>
      </c>
      <c r="U172" s="320"/>
      <c r="V172" s="321"/>
      <c r="W172" s="322"/>
      <c r="X172" s="322"/>
      <c r="Y172" s="322"/>
      <c r="Z172" s="323"/>
      <c r="AA172" s="172"/>
      <c r="AB172" s="172"/>
      <c r="AC172" s="172"/>
      <c r="AD172" s="173"/>
      <c r="AE172" s="173"/>
      <c r="AF172" s="179"/>
      <c r="AG172" s="179"/>
      <c r="AH172" s="179"/>
      <c r="AI172" s="179"/>
      <c r="AJ172" s="179"/>
      <c r="AK172" s="179"/>
      <c r="AL172" s="179"/>
      <c r="AM172" s="179"/>
      <c r="AN172" s="179"/>
      <c r="AO172" s="179"/>
      <c r="AP172" s="179"/>
      <c r="AQ172" s="179"/>
      <c r="AR172" s="181"/>
      <c r="AS172" s="181"/>
      <c r="AT172" s="181"/>
      <c r="AU172" s="181"/>
    </row>
    <row r="173" spans="1:47" s="182" customFormat="1" ht="13.2" customHeight="1" x14ac:dyDescent="0.2">
      <c r="A173" s="324" t="s">
        <v>159</v>
      </c>
      <c r="B173" s="325"/>
      <c r="C173" s="326">
        <v>66000</v>
      </c>
      <c r="D173" s="327">
        <v>30200</v>
      </c>
      <c r="E173" s="326">
        <v>8300</v>
      </c>
      <c r="F173" s="328">
        <v>2000</v>
      </c>
      <c r="G173" s="328">
        <v>8300</v>
      </c>
      <c r="H173" s="328">
        <v>8300</v>
      </c>
      <c r="I173" s="328">
        <v>3500</v>
      </c>
      <c r="J173" s="328">
        <v>4000</v>
      </c>
      <c r="K173" s="329">
        <v>8300</v>
      </c>
      <c r="L173" s="328">
        <v>500</v>
      </c>
      <c r="M173" s="330">
        <v>8500</v>
      </c>
      <c r="N173" s="330">
        <v>9200</v>
      </c>
      <c r="O173" s="328">
        <v>6000</v>
      </c>
      <c r="P173" s="331">
        <v>11000</v>
      </c>
      <c r="Q173" s="331">
        <v>12500</v>
      </c>
      <c r="R173" s="332">
        <f>SUM(E173,G173:H173,K173,M173,N173,P173,Q174)</f>
        <v>74400</v>
      </c>
      <c r="S173" s="330">
        <f>SUM(F173,I173,J173,L173,O173)</f>
        <v>16000</v>
      </c>
      <c r="T173" s="460">
        <f>SUM(R173:S173)</f>
        <v>90400</v>
      </c>
      <c r="U173" s="333">
        <f>SUM(C173,F173,I173,J173,L173)</f>
        <v>76000</v>
      </c>
      <c r="V173" s="328">
        <f>ROUNDUP(R173,0)</f>
        <v>74400</v>
      </c>
      <c r="W173" s="334">
        <f>U173+V173</f>
        <v>150400</v>
      </c>
      <c r="X173" s="334"/>
      <c r="Y173" s="334"/>
      <c r="Z173" s="323"/>
      <c r="AA173" s="172"/>
      <c r="AB173" s="172"/>
      <c r="AC173" s="172"/>
      <c r="AD173" s="173"/>
      <c r="AE173" s="173"/>
      <c r="AF173" s="179"/>
      <c r="AG173" s="179"/>
      <c r="AH173" s="179"/>
      <c r="AI173" s="179"/>
      <c r="AJ173" s="179"/>
      <c r="AK173" s="179"/>
      <c r="AL173" s="179"/>
      <c r="AM173" s="179"/>
      <c r="AN173" s="179"/>
      <c r="AO173" s="179"/>
      <c r="AP173" s="179"/>
      <c r="AQ173" s="179"/>
      <c r="AR173" s="181"/>
      <c r="AS173" s="181"/>
      <c r="AT173" s="181"/>
      <c r="AU173" s="181"/>
    </row>
    <row r="174" spans="1:47" s="182" customFormat="1" ht="12" customHeight="1" x14ac:dyDescent="0.2">
      <c r="M174" s="335"/>
      <c r="N174" s="335"/>
      <c r="P174" s="336">
        <f>P4*12/12</f>
        <v>11000</v>
      </c>
      <c r="Q174" s="401">
        <f>Q4*12/12</f>
        <v>12500</v>
      </c>
      <c r="T174" s="461"/>
      <c r="X174" s="337"/>
      <c r="Y174" s="337"/>
      <c r="AA174" s="179"/>
      <c r="AB174" s="179"/>
      <c r="AC174" s="179"/>
      <c r="AD174" s="180"/>
      <c r="AE174" s="180"/>
      <c r="AF174" s="179"/>
      <c r="AG174" s="179"/>
      <c r="AH174" s="179"/>
      <c r="AI174" s="179"/>
      <c r="AJ174" s="179"/>
      <c r="AK174" s="179"/>
      <c r="AL174" s="179"/>
      <c r="AM174" s="179"/>
      <c r="AN174" s="179"/>
      <c r="AO174" s="179"/>
      <c r="AP174" s="179"/>
      <c r="AQ174" s="179"/>
      <c r="AR174" s="181"/>
      <c r="AS174" s="181"/>
      <c r="AT174" s="181"/>
      <c r="AU174" s="181"/>
    </row>
    <row r="175" spans="1:47" s="182" customFormat="1" ht="10.199999999999999" x14ac:dyDescent="0.2">
      <c r="M175" s="338"/>
      <c r="O175" s="491" t="s">
        <v>257</v>
      </c>
      <c r="P175" s="491"/>
      <c r="Q175" s="491"/>
      <c r="R175" s="492"/>
      <c r="S175" s="492"/>
      <c r="T175" s="492"/>
      <c r="U175" s="492"/>
      <c r="V175" s="492"/>
      <c r="W175" s="492"/>
      <c r="X175" s="179"/>
      <c r="Y175" s="179"/>
      <c r="AA175" s="179"/>
      <c r="AB175" s="179"/>
      <c r="AC175" s="179"/>
      <c r="AD175" s="180"/>
      <c r="AE175" s="180"/>
      <c r="AF175" s="179"/>
      <c r="AG175" s="179"/>
      <c r="AH175" s="179"/>
      <c r="AI175" s="179"/>
      <c r="AJ175" s="179"/>
      <c r="AK175" s="179"/>
      <c r="AL175" s="179"/>
      <c r="AM175" s="179"/>
      <c r="AN175" s="179"/>
      <c r="AO175" s="179"/>
      <c r="AP175" s="179"/>
      <c r="AQ175" s="179"/>
      <c r="AR175" s="181"/>
      <c r="AS175" s="181"/>
      <c r="AT175" s="181"/>
      <c r="AU175" s="181"/>
    </row>
    <row r="176" spans="1:47" s="182" customFormat="1" ht="10.199999999999999" x14ac:dyDescent="0.2">
      <c r="E176" s="181"/>
      <c r="O176" s="243" t="s">
        <v>362</v>
      </c>
      <c r="P176" s="339"/>
      <c r="Q176" s="339"/>
      <c r="R176" s="339"/>
      <c r="S176" s="339"/>
      <c r="T176" s="462"/>
      <c r="U176" s="340"/>
      <c r="V176" s="341"/>
      <c r="W176" s="342"/>
      <c r="X176" s="201"/>
      <c r="Y176" s="201"/>
      <c r="AA176" s="179"/>
      <c r="AB176" s="179"/>
      <c r="AC176" s="179"/>
      <c r="AD176" s="180"/>
      <c r="AE176" s="180"/>
      <c r="AF176" s="179"/>
      <c r="AG176" s="179"/>
      <c r="AH176" s="179"/>
      <c r="AI176" s="179"/>
      <c r="AJ176" s="179"/>
      <c r="AK176" s="179"/>
      <c r="AL176" s="179"/>
      <c r="AM176" s="179"/>
      <c r="AN176" s="179"/>
      <c r="AO176" s="179"/>
      <c r="AP176" s="179"/>
      <c r="AQ176" s="179"/>
      <c r="AR176" s="181"/>
      <c r="AS176" s="181"/>
      <c r="AT176" s="181"/>
      <c r="AU176" s="181"/>
    </row>
    <row r="177" spans="1:47" s="182" customFormat="1" ht="10.199999999999999" x14ac:dyDescent="0.2">
      <c r="O177" s="343" t="s">
        <v>256</v>
      </c>
      <c r="P177" s="344"/>
      <c r="Q177" s="344"/>
      <c r="R177" s="344"/>
      <c r="S177" s="344"/>
      <c r="T177" s="463"/>
      <c r="U177" s="343"/>
      <c r="V177" s="345"/>
      <c r="W177" s="346"/>
      <c r="X177" s="179"/>
      <c r="Y177" s="179"/>
      <c r="AA177" s="179"/>
      <c r="AB177" s="179"/>
      <c r="AC177" s="179"/>
      <c r="AD177" s="180"/>
      <c r="AE177" s="180"/>
      <c r="AF177" s="179"/>
      <c r="AG177" s="179"/>
      <c r="AH177" s="179"/>
      <c r="AI177" s="179"/>
      <c r="AJ177" s="179"/>
      <c r="AK177" s="179"/>
      <c r="AL177" s="179"/>
      <c r="AM177" s="179"/>
      <c r="AN177" s="179"/>
      <c r="AO177" s="179"/>
      <c r="AP177" s="179"/>
      <c r="AQ177" s="179"/>
      <c r="AR177" s="181"/>
      <c r="AS177" s="181"/>
      <c r="AT177" s="181"/>
      <c r="AU177" s="181"/>
    </row>
    <row r="178" spans="1:47" s="182" customFormat="1" ht="10.199999999999999" x14ac:dyDescent="0.2">
      <c r="O178" s="347" t="s">
        <v>255</v>
      </c>
      <c r="P178" s="348"/>
      <c r="Q178" s="348"/>
      <c r="R178" s="348"/>
      <c r="S178" s="348"/>
      <c r="T178" s="464"/>
      <c r="U178" s="347"/>
      <c r="V178" s="348"/>
      <c r="W178" s="349"/>
      <c r="X178" s="350"/>
      <c r="Y178" s="350"/>
      <c r="AA178" s="179"/>
      <c r="AB178" s="179"/>
      <c r="AC178" s="179"/>
      <c r="AD178" s="180"/>
      <c r="AE178" s="180"/>
      <c r="AF178" s="179"/>
      <c r="AG178" s="179"/>
      <c r="AH178" s="179"/>
      <c r="AI178" s="179"/>
      <c r="AJ178" s="179"/>
      <c r="AK178" s="179"/>
      <c r="AL178" s="179"/>
      <c r="AM178" s="179"/>
      <c r="AN178" s="179"/>
      <c r="AO178" s="179"/>
      <c r="AP178" s="179"/>
      <c r="AQ178" s="179"/>
      <c r="AR178" s="181"/>
      <c r="AS178" s="181"/>
      <c r="AT178" s="181"/>
      <c r="AU178" s="181"/>
    </row>
    <row r="179" spans="1:47" hidden="1" x14ac:dyDescent="0.3">
      <c r="U179" s="34"/>
      <c r="V179" s="34"/>
      <c r="W179" s="41"/>
      <c r="X179" s="41"/>
      <c r="Y179" s="41"/>
    </row>
    <row r="180" spans="1:47" hidden="1" x14ac:dyDescent="0.3">
      <c r="A180" s="74" t="s">
        <v>205</v>
      </c>
      <c r="B180" s="74"/>
      <c r="C180" s="74"/>
      <c r="D180" s="74"/>
      <c r="W180" s="40"/>
      <c r="X180" s="40"/>
      <c r="Y180" s="40"/>
      <c r="AA180" s="354"/>
    </row>
    <row r="181" spans="1:47" hidden="1" x14ac:dyDescent="0.3">
      <c r="A181" s="74" t="s">
        <v>206</v>
      </c>
      <c r="B181" s="74"/>
      <c r="C181" s="75">
        <f>C$172-C$171</f>
        <v>10727000</v>
      </c>
      <c r="D181" s="75">
        <f>D$172-D$171</f>
        <v>4913900</v>
      </c>
      <c r="M181" s="21" t="s">
        <v>284</v>
      </c>
      <c r="W181" s="40"/>
      <c r="X181" s="40"/>
      <c r="Y181" s="40"/>
    </row>
    <row r="182" spans="1:47" hidden="1" x14ac:dyDescent="0.3">
      <c r="A182" s="74" t="s">
        <v>207</v>
      </c>
      <c r="B182" s="74"/>
      <c r="C182" s="74"/>
      <c r="D182" s="74"/>
      <c r="L182" s="73" t="s">
        <v>180</v>
      </c>
      <c r="M182" s="109">
        <f>SUM(C171:D171)</f>
        <v>39700</v>
      </c>
      <c r="N182" s="78"/>
      <c r="O182" s="78"/>
      <c r="P182" s="78"/>
      <c r="Q182" s="78"/>
      <c r="V182" s="21"/>
      <c r="W182" s="72"/>
      <c r="X182" s="72"/>
      <c r="Y182" s="72"/>
      <c r="AB182" s="33" t="s">
        <v>554</v>
      </c>
    </row>
    <row r="183" spans="1:47" hidden="1" x14ac:dyDescent="0.3">
      <c r="A183" s="74" t="s">
        <v>247</v>
      </c>
      <c r="B183" s="74"/>
      <c r="C183" s="74"/>
      <c r="D183" s="74"/>
      <c r="L183" s="73" t="s">
        <v>186</v>
      </c>
      <c r="M183" s="110">
        <f>SUM(E169,G169,H169,K169,M169,N169)</f>
        <v>8217701</v>
      </c>
      <c r="N183" s="124">
        <f>AF169+AG169</f>
        <v>44496.93</v>
      </c>
      <c r="O183" s="125" t="s">
        <v>312</v>
      </c>
      <c r="P183" s="125"/>
      <c r="Q183" s="125"/>
      <c r="R183" s="74"/>
      <c r="S183" s="74"/>
      <c r="T183" s="465"/>
      <c r="U183" s="74"/>
    </row>
    <row r="184" spans="1:47" hidden="1" x14ac:dyDescent="0.3">
      <c r="L184" s="73" t="s">
        <v>187</v>
      </c>
      <c r="M184" s="111">
        <f>SUM(F169,I169,J169,L169,O169)</f>
        <v>2443763.4</v>
      </c>
      <c r="N184" s="39"/>
      <c r="O184" s="39"/>
      <c r="P184" s="39"/>
      <c r="Q184" s="39"/>
      <c r="W184" s="40"/>
      <c r="X184" s="40"/>
      <c r="Y184" s="40"/>
    </row>
    <row r="185" spans="1:47" hidden="1" x14ac:dyDescent="0.3">
      <c r="L185" s="73" t="s">
        <v>179</v>
      </c>
      <c r="M185" s="112">
        <f>T169</f>
        <v>14002595.49</v>
      </c>
      <c r="N185" s="96"/>
      <c r="O185" s="80"/>
      <c r="P185" s="80"/>
      <c r="Q185" s="80"/>
      <c r="AB185" s="354"/>
    </row>
    <row r="186" spans="1:47" hidden="1" x14ac:dyDescent="0.3">
      <c r="L186" s="73" t="s">
        <v>181</v>
      </c>
      <c r="M186" s="113">
        <f>SUM(M185,C169,D169)-N183</f>
        <v>29598998.560000002</v>
      </c>
      <c r="N186" s="76" t="s">
        <v>416</v>
      </c>
      <c r="O186" s="22"/>
      <c r="P186" s="22"/>
      <c r="Q186" s="22"/>
    </row>
    <row r="187" spans="1:47" hidden="1" x14ac:dyDescent="0.3">
      <c r="L187" s="77" t="s">
        <v>627</v>
      </c>
      <c r="M187" s="113">
        <v>29091452.550000001</v>
      </c>
      <c r="N187" s="79"/>
      <c r="O187" s="79"/>
      <c r="P187" s="79"/>
      <c r="Q187" s="79"/>
    </row>
    <row r="188" spans="1:47" hidden="1" x14ac:dyDescent="0.3">
      <c r="L188" s="120" t="s">
        <v>285</v>
      </c>
      <c r="M188" s="114">
        <f>M186-M187</f>
        <v>507546.01000000164</v>
      </c>
      <c r="N188" s="123"/>
      <c r="O188" s="82" t="s">
        <v>610</v>
      </c>
      <c r="P188" s="82"/>
      <c r="Q188" s="82"/>
    </row>
    <row r="189" spans="1:47" hidden="1" x14ac:dyDescent="0.3">
      <c r="L189" s="121" t="s">
        <v>630</v>
      </c>
      <c r="M189" s="113">
        <f>SUM(M188:N188)</f>
        <v>507546.01000000164</v>
      </c>
      <c r="N189" s="76" t="s">
        <v>346</v>
      </c>
      <c r="O189" s="76"/>
      <c r="P189" s="76"/>
      <c r="Q189" s="76"/>
      <c r="V189" s="76"/>
    </row>
    <row r="190" spans="1:47" hidden="1" x14ac:dyDescent="0.3">
      <c r="L190" s="73"/>
    </row>
    <row r="191" spans="1:47" hidden="1" x14ac:dyDescent="0.3">
      <c r="L191" s="73"/>
      <c r="O191" s="82"/>
      <c r="P191" s="82"/>
      <c r="Q191" s="82"/>
    </row>
    <row r="192" spans="1:47" hidden="1" x14ac:dyDescent="0.3">
      <c r="L192" s="73"/>
      <c r="M192" s="76"/>
      <c r="N192" s="81"/>
      <c r="O192" s="81"/>
      <c r="P192" s="81"/>
      <c r="Q192" s="81"/>
    </row>
    <row r="193" spans="11:13" hidden="1" x14ac:dyDescent="0.3">
      <c r="K193" s="76">
        <f>SUM(M185-M187)</f>
        <v>-15088857.060000001</v>
      </c>
    </row>
    <row r="194" spans="11:13" hidden="1" x14ac:dyDescent="0.3"/>
    <row r="197" spans="11:13" x14ac:dyDescent="0.3">
      <c r="M197" s="113"/>
    </row>
  </sheetData>
  <sheetProtection algorithmName="SHA-512" hashValue="3cAOESM6YAtORxun/za/JRNay8S1aAiYUxgpVpsdtLvioB7L3yxkJKJTIUFZ/CAICAaXhZVXmVyovp2rf7y04A==" saltValue="czgVEspdRHxvnUnZe9s5LA==" spinCount="100000" sheet="1" objects="1" scenarios="1"/>
  <autoFilter ref="B1:B193"/>
  <mergeCells count="5">
    <mergeCell ref="U1:Y1"/>
    <mergeCell ref="O175:W175"/>
    <mergeCell ref="AD3:AE3"/>
    <mergeCell ref="V2:W2"/>
    <mergeCell ref="X2:Y2"/>
  </mergeCells>
  <conditionalFormatting sqref="U5:Y168">
    <cfRule type="cellIs" dxfId="69" priority="108" operator="lessThan">
      <formula>0</formula>
    </cfRule>
    <cfRule type="cellIs" dxfId="68" priority="109" operator="greaterThan">
      <formula>0</formula>
    </cfRule>
  </conditionalFormatting>
  <conditionalFormatting sqref="C5:D168">
    <cfRule type="cellIs" dxfId="67" priority="107" operator="greaterThan">
      <formula>0</formula>
    </cfRule>
  </conditionalFormatting>
  <conditionalFormatting sqref="R5:R168">
    <cfRule type="cellIs" dxfId="66" priority="85" operator="lessThan">
      <formula>$R$4</formula>
    </cfRule>
    <cfRule type="cellIs" dxfId="65" priority="86" operator="greaterThan">
      <formula>$R$4</formula>
    </cfRule>
  </conditionalFormatting>
  <conditionalFormatting sqref="S5">
    <cfRule type="cellIs" dxfId="64" priority="83" operator="lessThan">
      <formula>$S$4</formula>
    </cfRule>
    <cfRule type="cellIs" dxfId="63" priority="84" operator="greaterThan">
      <formula>$S$4</formula>
    </cfRule>
  </conditionalFormatting>
  <conditionalFormatting sqref="AD5:AE168">
    <cfRule type="cellIs" dxfId="62" priority="80" operator="greaterThan">
      <formula>0</formula>
    </cfRule>
  </conditionalFormatting>
  <conditionalFormatting sqref="E106">
    <cfRule type="cellIs" dxfId="61" priority="106" operator="greaterThan">
      <formula>$E$4/2</formula>
    </cfRule>
  </conditionalFormatting>
  <conditionalFormatting sqref="G5:G168">
    <cfRule type="cellIs" dxfId="60" priority="102" operator="greaterThan">
      <formula>$G$4</formula>
    </cfRule>
  </conditionalFormatting>
  <conditionalFormatting sqref="N13:N14">
    <cfRule type="cellIs" dxfId="59" priority="44" operator="lessThan">
      <formula>$N$4</formula>
    </cfRule>
    <cfRule type="cellIs" dxfId="58" priority="45" operator="greaterThan">
      <formula>$N$4</formula>
    </cfRule>
  </conditionalFormatting>
  <conditionalFormatting sqref="N85">
    <cfRule type="cellIs" dxfId="57" priority="40" operator="lessThan">
      <formula>$N$4</formula>
    </cfRule>
    <cfRule type="cellIs" dxfId="56" priority="41" operator="greaterThan">
      <formula>$N$4</formula>
    </cfRule>
  </conditionalFormatting>
  <conditionalFormatting sqref="E105">
    <cfRule type="cellIs" dxfId="55" priority="52" operator="lessThan">
      <formula>$E$4/2</formula>
    </cfRule>
  </conditionalFormatting>
  <conditionalFormatting sqref="F105">
    <cfRule type="cellIs" dxfId="54" priority="103" operator="lessThan">
      <formula>$F$4/2</formula>
    </cfRule>
    <cfRule type="cellIs" dxfId="53" priority="104" operator="greaterThan">
      <formula>$F$4/2</formula>
    </cfRule>
  </conditionalFormatting>
  <conditionalFormatting sqref="F106">
    <cfRule type="cellIs" dxfId="52" priority="31" operator="greaterThan">
      <formula>$F$4/2</formula>
    </cfRule>
    <cfRule type="cellIs" dxfId="51" priority="32" operator="lessThan">
      <formula>$F$4/2</formula>
    </cfRule>
  </conditionalFormatting>
  <conditionalFormatting sqref="G105:G106">
    <cfRule type="cellIs" dxfId="50" priority="29" operator="greaterThan">
      <formula>$G$4/2</formula>
    </cfRule>
    <cfRule type="cellIs" dxfId="49" priority="30" operator="lessThan">
      <formula>8300/2</formula>
    </cfRule>
  </conditionalFormatting>
  <conditionalFormatting sqref="G5:G104 G107:G168">
    <cfRule type="cellIs" dxfId="48" priority="101" operator="lessThan">
      <formula>$G$4</formula>
    </cfRule>
  </conditionalFormatting>
  <conditionalFormatting sqref="H105:H106">
    <cfRule type="cellIs" dxfId="47" priority="27" operator="greaterThan">
      <formula>$H$4/2</formula>
    </cfRule>
    <cfRule type="cellIs" dxfId="46" priority="28" operator="lessThan">
      <formula>$H$4/2</formula>
    </cfRule>
  </conditionalFormatting>
  <conditionalFormatting sqref="H5:H104 H107:H168">
    <cfRule type="cellIs" dxfId="45" priority="99" operator="lessThan">
      <formula>$H$4</formula>
    </cfRule>
    <cfRule type="cellIs" dxfId="44" priority="100" operator="greaterThan">
      <formula>$H$4</formula>
    </cfRule>
  </conditionalFormatting>
  <conditionalFormatting sqref="I105:I106">
    <cfRule type="cellIs" dxfId="43" priority="25" operator="greaterThan">
      <formula>$I$4/2</formula>
    </cfRule>
    <cfRule type="cellIs" dxfId="42" priority="26" operator="lessThan">
      <formula>$I$4/2</formula>
    </cfRule>
  </conditionalFormatting>
  <conditionalFormatting sqref="I5:I104 I107:I168">
    <cfRule type="cellIs" dxfId="41" priority="97" operator="lessThan">
      <formula>$I$4</formula>
    </cfRule>
    <cfRule type="cellIs" dxfId="40" priority="98" operator="greaterThan">
      <formula>$I$4</formula>
    </cfRule>
  </conditionalFormatting>
  <conditionalFormatting sqref="J5:J104 J107:J168">
    <cfRule type="cellIs" dxfId="39" priority="95" operator="lessThan">
      <formula>$J$4</formula>
    </cfRule>
    <cfRule type="cellIs" dxfId="38" priority="96" operator="greaterThan">
      <formula>$J$4</formula>
    </cfRule>
  </conditionalFormatting>
  <conditionalFormatting sqref="J105:J106">
    <cfRule type="cellIs" dxfId="37" priority="23" operator="lessThan">
      <formula>$J$4/2</formula>
    </cfRule>
    <cfRule type="cellIs" dxfId="36" priority="24" operator="greaterThan">
      <formula>$J$4/2</formula>
    </cfRule>
  </conditionalFormatting>
  <conditionalFormatting sqref="K5:K104 K107:K168">
    <cfRule type="cellIs" dxfId="35" priority="93" operator="lessThan">
      <formula>$K$4</formula>
    </cfRule>
    <cfRule type="cellIs" dxfId="34" priority="94" operator="greaterThan">
      <formula>$K$4</formula>
    </cfRule>
  </conditionalFormatting>
  <conditionalFormatting sqref="K105:K106">
    <cfRule type="cellIs" dxfId="33" priority="21" operator="greaterThan">
      <formula>$K$4/2</formula>
    </cfRule>
    <cfRule type="cellIs" dxfId="32" priority="22" operator="lessThan">
      <formula>$K$4/2</formula>
    </cfRule>
  </conditionalFormatting>
  <conditionalFormatting sqref="L5:L104 L107:L168">
    <cfRule type="cellIs" dxfId="31" priority="91" operator="lessThan">
      <formula>$L$4</formula>
    </cfRule>
    <cfRule type="cellIs" dxfId="30" priority="92" operator="greaterThan">
      <formula>$L$4</formula>
    </cfRule>
  </conditionalFormatting>
  <conditionalFormatting sqref="L105:L106">
    <cfRule type="cellIs" dxfId="29" priority="19" operator="greaterThan">
      <formula>$L$4/2</formula>
    </cfRule>
    <cfRule type="cellIs" dxfId="28" priority="20" operator="lessThan">
      <formula>$L$4/2</formula>
    </cfRule>
  </conditionalFormatting>
  <conditionalFormatting sqref="M105:M106">
    <cfRule type="cellIs" dxfId="27" priority="17" operator="greaterThan">
      <formula>$M$4/2</formula>
    </cfRule>
    <cfRule type="cellIs" dxfId="26" priority="18" operator="lessThan">
      <formula>$M$4/2</formula>
    </cfRule>
  </conditionalFormatting>
  <conditionalFormatting sqref="M5:M104 M107:M168">
    <cfRule type="cellIs" dxfId="25" priority="89" operator="lessThan">
      <formula>$M$4</formula>
    </cfRule>
    <cfRule type="cellIs" dxfId="24" priority="90" operator="greaterThan">
      <formula>$M$4</formula>
    </cfRule>
  </conditionalFormatting>
  <conditionalFormatting sqref="N5:N104 N107:N168">
    <cfRule type="cellIs" dxfId="23" priority="87" operator="lessThan">
      <formula>$N$4</formula>
    </cfRule>
    <cfRule type="cellIs" dxfId="22" priority="88" operator="greaterThan">
      <formula>$N$4</formula>
    </cfRule>
  </conditionalFormatting>
  <conditionalFormatting sqref="N105:N106">
    <cfRule type="cellIs" dxfId="21" priority="15" operator="greaterThan">
      <formula>$N$4/2</formula>
    </cfRule>
    <cfRule type="cellIs" dxfId="20" priority="16" operator="lessThan">
      <formula>$N$4/2</formula>
    </cfRule>
  </conditionalFormatting>
  <conditionalFormatting sqref="O5:O104 O107:O168">
    <cfRule type="cellIs" dxfId="19" priority="36" operator="greaterThan">
      <formula>$O$4</formula>
    </cfRule>
    <cfRule type="cellIs" dxfId="18" priority="37" operator="lessThan">
      <formula>$O$4</formula>
    </cfRule>
  </conditionalFormatting>
  <conditionalFormatting sqref="O105:O106">
    <cfRule type="cellIs" dxfId="17" priority="13" operator="greaterThan">
      <formula>$O$4/2</formula>
    </cfRule>
    <cfRule type="cellIs" dxfId="16" priority="14" operator="lessThan">
      <formula>$O$4/2</formula>
    </cfRule>
  </conditionalFormatting>
  <conditionalFormatting sqref="P6:P104 P107:P168">
    <cfRule type="cellIs" dxfId="15" priority="33" operator="lessThan">
      <formula>$P$174</formula>
    </cfRule>
    <cfRule type="cellIs" dxfId="14" priority="34" operator="greaterThan">
      <formula>$P$174</formula>
    </cfRule>
  </conditionalFormatting>
  <conditionalFormatting sqref="P105:P106">
    <cfRule type="cellIs" dxfId="13" priority="11" operator="greaterThan">
      <formula>$P$4/2</formula>
    </cfRule>
    <cfRule type="cellIs" dxfId="12" priority="12" operator="lessThan">
      <formula>$P$4/2</formula>
    </cfRule>
  </conditionalFormatting>
  <conditionalFormatting sqref="Q5:Q104 Q107:Q168">
    <cfRule type="cellIs" dxfId="11" priority="56" operator="greaterThan">
      <formula>$Q$174</formula>
    </cfRule>
    <cfRule type="cellIs" dxfId="10" priority="57" operator="lessThan">
      <formula>$Q$174</formula>
    </cfRule>
  </conditionalFormatting>
  <conditionalFormatting sqref="Q105:Q106">
    <cfRule type="cellIs" dxfId="9" priority="9" operator="greaterThan">
      <formula>$Q$4/2</formula>
    </cfRule>
    <cfRule type="cellIs" dxfId="8" priority="10" operator="lessThan">
      <formula>$Q$4/2</formula>
    </cfRule>
  </conditionalFormatting>
  <conditionalFormatting sqref="S105:S106">
    <cfRule type="cellIs" dxfId="7" priority="5" operator="greaterThan">
      <formula>$S$4/2</formula>
    </cfRule>
    <cfRule type="cellIs" dxfId="6" priority="6" operator="lessThan">
      <formula>$S$4/2</formula>
    </cfRule>
  </conditionalFormatting>
  <conditionalFormatting sqref="S5:S104 S107:S168">
    <cfRule type="cellIs" dxfId="5" priority="3" operator="greaterThan">
      <formula>$S$4</formula>
    </cfRule>
    <cfRule type="cellIs" dxfId="4" priority="4" operator="lessThan">
      <formula>$S$4</formula>
    </cfRule>
  </conditionalFormatting>
  <conditionalFormatting sqref="T105:T106">
    <cfRule type="cellIs" dxfId="3" priority="1" operator="greaterThan">
      <formula>$T$4</formula>
    </cfRule>
    <cfRule type="cellIs" dxfId="2" priority="2" operator="lessThan">
      <formula>$T$4/2</formula>
    </cfRule>
  </conditionalFormatting>
  <conditionalFormatting sqref="T107:T168 T5:T104">
    <cfRule type="cellIs" dxfId="1" priority="81" operator="lessThan">
      <formula>$T$4</formula>
    </cfRule>
    <cfRule type="cellIs" dxfId="0" priority="82" operator="greaterThan">
      <formula>$T$4</formula>
    </cfRule>
  </conditionalFormatting>
  <pageMargins left="0" right="0" top="0" bottom="0" header="0" footer="0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M102"/>
  <sheetViews>
    <sheetView topLeftCell="S1" workbookViewId="0">
      <pane ySplit="3" topLeftCell="A28" activePane="bottomLeft" state="frozen"/>
      <selection activeCell="G17" sqref="G17"/>
      <selection pane="bottomLeft" activeCell="G17" sqref="G17"/>
    </sheetView>
  </sheetViews>
  <sheetFormatPr defaultRowHeight="14.4" x14ac:dyDescent="0.3"/>
  <cols>
    <col min="3" max="3" width="10.109375" style="52" bestFit="1" customWidth="1"/>
    <col min="4" max="4" width="10.109375" style="46" customWidth="1"/>
    <col min="5" max="5" width="9.109375" bestFit="1" customWidth="1"/>
    <col min="6" max="6" width="13" customWidth="1"/>
    <col min="7" max="7" width="6.6640625" style="52" customWidth="1"/>
    <col min="10" max="10" width="10.109375" bestFit="1" customWidth="1"/>
    <col min="13" max="13" width="10.109375" bestFit="1" customWidth="1"/>
    <col min="14" max="14" width="11.109375" bestFit="1" customWidth="1"/>
    <col min="15" max="15" width="8.88671875" customWidth="1"/>
    <col min="16" max="16" width="10.109375" bestFit="1" customWidth="1"/>
    <col min="18" max="18" width="11.88671875" customWidth="1"/>
    <col min="19" max="19" width="10.109375" bestFit="1" customWidth="1"/>
    <col min="20" max="20" width="11.6640625" bestFit="1" customWidth="1"/>
    <col min="22" max="22" width="10.109375" bestFit="1" customWidth="1"/>
    <col min="25" max="25" width="10.109375" customWidth="1"/>
    <col min="28" max="28" width="10.109375" bestFit="1" customWidth="1"/>
    <col min="31" max="31" width="10.6640625" customWidth="1"/>
    <col min="32" max="32" width="10.88671875" bestFit="1" customWidth="1"/>
    <col min="34" max="34" width="10.109375" bestFit="1" customWidth="1"/>
    <col min="36" max="36" width="9.5546875" bestFit="1" customWidth="1"/>
    <col min="37" max="37" width="10.109375" bestFit="1" customWidth="1"/>
  </cols>
  <sheetData>
    <row r="1" spans="1:39" x14ac:dyDescent="0.3">
      <c r="A1" s="142" t="s">
        <v>168</v>
      </c>
      <c r="B1" s="37"/>
      <c r="C1" s="61"/>
      <c r="D1" s="45"/>
      <c r="G1" s="44"/>
      <c r="H1" s="37"/>
      <c r="I1" s="37"/>
      <c r="J1" s="61"/>
    </row>
    <row r="2" spans="1:39" x14ac:dyDescent="0.3">
      <c r="A2" s="504" t="s">
        <v>169</v>
      </c>
      <c r="B2" s="505"/>
      <c r="C2" s="505"/>
      <c r="D2" s="504" t="s">
        <v>177</v>
      </c>
      <c r="E2" s="505"/>
      <c r="F2" s="505"/>
      <c r="G2" s="505"/>
      <c r="H2" s="504" t="s">
        <v>182</v>
      </c>
      <c r="I2" s="505"/>
      <c r="J2" s="505"/>
      <c r="K2" s="504" t="s">
        <v>188</v>
      </c>
      <c r="L2" s="505"/>
      <c r="M2" s="505"/>
      <c r="N2" s="504" t="s">
        <v>229</v>
      </c>
      <c r="O2" s="505"/>
      <c r="P2" s="505"/>
      <c r="Q2" s="504" t="s">
        <v>232</v>
      </c>
      <c r="R2" s="505"/>
      <c r="S2" s="507"/>
      <c r="T2" s="506" t="s">
        <v>235</v>
      </c>
      <c r="U2" s="506"/>
      <c r="V2" s="506"/>
      <c r="W2" s="506" t="s">
        <v>240</v>
      </c>
      <c r="X2" s="506"/>
      <c r="Y2" s="506"/>
      <c r="Z2" s="506" t="s">
        <v>248</v>
      </c>
      <c r="AA2" s="506"/>
      <c r="AB2" s="506"/>
      <c r="AC2" s="501" t="s">
        <v>259</v>
      </c>
      <c r="AD2" s="502"/>
      <c r="AE2" s="503"/>
      <c r="AF2" s="501" t="s">
        <v>279</v>
      </c>
      <c r="AG2" s="502"/>
      <c r="AH2" s="503"/>
      <c r="AI2" s="499" t="s">
        <v>286</v>
      </c>
      <c r="AJ2" s="500"/>
      <c r="AK2" s="500"/>
      <c r="AL2" s="500"/>
      <c r="AM2" s="500"/>
    </row>
    <row r="3" spans="1:39" s="131" customFormat="1" ht="58.2" thickBot="1" x14ac:dyDescent="0.35">
      <c r="A3" s="58" t="s">
        <v>170</v>
      </c>
      <c r="B3" s="126" t="s">
        <v>171</v>
      </c>
      <c r="C3" s="59" t="s">
        <v>172</v>
      </c>
      <c r="D3" s="58" t="s">
        <v>170</v>
      </c>
      <c r="E3" s="126" t="s">
        <v>171</v>
      </c>
      <c r="F3" s="60" t="s">
        <v>172</v>
      </c>
      <c r="G3" s="129" t="s">
        <v>178</v>
      </c>
      <c r="H3" s="58" t="s">
        <v>170</v>
      </c>
      <c r="I3" s="126" t="s">
        <v>171</v>
      </c>
      <c r="J3" s="59" t="s">
        <v>172</v>
      </c>
      <c r="K3" s="58" t="s">
        <v>170</v>
      </c>
      <c r="L3" s="126" t="s">
        <v>171</v>
      </c>
      <c r="M3" s="59" t="s">
        <v>172</v>
      </c>
      <c r="N3" s="58" t="s">
        <v>170</v>
      </c>
      <c r="O3" s="126" t="s">
        <v>171</v>
      </c>
      <c r="P3" s="59" t="s">
        <v>172</v>
      </c>
      <c r="Q3" s="58" t="s">
        <v>170</v>
      </c>
      <c r="R3" s="126" t="s">
        <v>171</v>
      </c>
      <c r="S3" s="84" t="s">
        <v>172</v>
      </c>
      <c r="T3" s="85" t="s">
        <v>170</v>
      </c>
      <c r="U3" s="127" t="s">
        <v>171</v>
      </c>
      <c r="V3" s="86" t="s">
        <v>172</v>
      </c>
      <c r="W3" s="85" t="s">
        <v>170</v>
      </c>
      <c r="X3" s="127" t="s">
        <v>171</v>
      </c>
      <c r="Y3" s="86" t="s">
        <v>172</v>
      </c>
      <c r="Z3" s="85" t="s">
        <v>170</v>
      </c>
      <c r="AA3" s="127" t="s">
        <v>171</v>
      </c>
      <c r="AB3" s="86" t="s">
        <v>172</v>
      </c>
      <c r="AC3" s="85" t="s">
        <v>170</v>
      </c>
      <c r="AD3" s="127" t="s">
        <v>171</v>
      </c>
      <c r="AE3" s="86" t="s">
        <v>172</v>
      </c>
      <c r="AF3" s="85" t="s">
        <v>170</v>
      </c>
      <c r="AG3" s="127" t="s">
        <v>171</v>
      </c>
      <c r="AH3" s="86" t="s">
        <v>172</v>
      </c>
      <c r="AI3" s="85" t="s">
        <v>170</v>
      </c>
      <c r="AJ3" s="128" t="s">
        <v>171</v>
      </c>
      <c r="AK3" s="128" t="s">
        <v>172</v>
      </c>
      <c r="AL3" s="130" t="s">
        <v>309</v>
      </c>
      <c r="AM3" s="130" t="s">
        <v>310</v>
      </c>
    </row>
    <row r="4" spans="1:39" x14ac:dyDescent="0.3">
      <c r="A4" s="54">
        <v>6</v>
      </c>
      <c r="B4" s="55">
        <v>700</v>
      </c>
      <c r="C4" s="49">
        <v>44946.500787036959</v>
      </c>
      <c r="D4" s="56">
        <v>4</v>
      </c>
      <c r="E4" s="55">
        <v>4000</v>
      </c>
      <c r="F4" s="57">
        <v>44962.672245370224</v>
      </c>
      <c r="H4" s="56">
        <v>5</v>
      </c>
      <c r="I4" s="55">
        <v>12400</v>
      </c>
      <c r="J4" s="57">
        <v>45006.811261574272</v>
      </c>
      <c r="K4" s="56">
        <v>6</v>
      </c>
      <c r="L4" s="55">
        <v>700</v>
      </c>
      <c r="M4" s="57" t="s">
        <v>189</v>
      </c>
      <c r="N4" s="56">
        <v>6</v>
      </c>
      <c r="O4" s="55">
        <v>700</v>
      </c>
      <c r="P4" s="57" t="s">
        <v>210</v>
      </c>
      <c r="Q4" s="56">
        <v>6</v>
      </c>
      <c r="R4">
        <v>700</v>
      </c>
      <c r="S4" s="88">
        <v>45097.50589120388</v>
      </c>
      <c r="T4" s="47">
        <v>6</v>
      </c>
      <c r="U4" s="42">
        <v>700</v>
      </c>
      <c r="V4" s="89">
        <v>45129.416886574123</v>
      </c>
      <c r="W4" s="47">
        <v>6</v>
      </c>
      <c r="X4" s="42">
        <v>700</v>
      </c>
      <c r="Y4" s="89">
        <v>45158.724247685168</v>
      </c>
      <c r="Z4" s="47">
        <v>4</v>
      </c>
      <c r="AA4" s="98">
        <v>2800</v>
      </c>
      <c r="AB4" s="99">
        <v>45194</v>
      </c>
      <c r="AC4" s="47">
        <v>2</v>
      </c>
      <c r="AD4" s="106">
        <v>9200</v>
      </c>
      <c r="AE4" s="115">
        <v>45220</v>
      </c>
      <c r="AF4" s="116">
        <v>3</v>
      </c>
      <c r="AG4" s="93">
        <v>5000</v>
      </c>
      <c r="AH4" s="107">
        <v>45232</v>
      </c>
      <c r="AI4" s="116">
        <v>2</v>
      </c>
      <c r="AJ4" s="93">
        <v>6000</v>
      </c>
      <c r="AK4" s="93" t="s">
        <v>287</v>
      </c>
      <c r="AL4" s="93"/>
      <c r="AM4" s="93"/>
    </row>
    <row r="5" spans="1:39" x14ac:dyDescent="0.3">
      <c r="A5" s="47">
        <v>6</v>
      </c>
      <c r="B5" s="42">
        <v>1000</v>
      </c>
      <c r="C5" s="50">
        <v>44946.617175925989</v>
      </c>
      <c r="D5" s="48">
        <v>6</v>
      </c>
      <c r="E5" s="42">
        <v>700</v>
      </c>
      <c r="F5" s="38">
        <v>44977.517893518321</v>
      </c>
      <c r="H5" s="56">
        <v>6</v>
      </c>
      <c r="I5" s="55">
        <v>700</v>
      </c>
      <c r="J5" s="57">
        <v>45005.559629629832</v>
      </c>
      <c r="K5" s="56">
        <v>6</v>
      </c>
      <c r="L5" s="55">
        <v>1000</v>
      </c>
      <c r="M5" s="57" t="s">
        <v>189</v>
      </c>
      <c r="N5" s="56">
        <v>9</v>
      </c>
      <c r="O5" s="55">
        <v>2000</v>
      </c>
      <c r="P5" s="57" t="s">
        <v>211</v>
      </c>
      <c r="Q5" s="56">
        <v>9</v>
      </c>
      <c r="R5">
        <v>1000</v>
      </c>
      <c r="S5" s="88">
        <v>45107.847685185261</v>
      </c>
      <c r="T5" s="47">
        <v>7</v>
      </c>
      <c r="U5" s="42">
        <v>8500</v>
      </c>
      <c r="V5" s="89">
        <v>45126.533449074253</v>
      </c>
      <c r="W5" s="47">
        <v>9</v>
      </c>
      <c r="X5" s="42">
        <v>1000</v>
      </c>
      <c r="Y5" s="89">
        <v>45143.438379629515</v>
      </c>
      <c r="Z5" s="47">
        <v>6</v>
      </c>
      <c r="AA5" s="98">
        <v>725</v>
      </c>
      <c r="AB5" s="99">
        <v>45189.548321759328</v>
      </c>
      <c r="AC5" s="47">
        <v>5</v>
      </c>
      <c r="AD5" s="106">
        <v>5400</v>
      </c>
      <c r="AE5" s="115">
        <v>45216</v>
      </c>
      <c r="AF5" s="116">
        <v>3</v>
      </c>
      <c r="AG5" s="93">
        <v>5000</v>
      </c>
      <c r="AH5" s="107">
        <v>45605</v>
      </c>
      <c r="AI5" s="116">
        <v>3</v>
      </c>
      <c r="AJ5" s="93">
        <v>6000</v>
      </c>
      <c r="AK5" s="93" t="s">
        <v>288</v>
      </c>
      <c r="AL5" s="93"/>
      <c r="AM5" s="93"/>
    </row>
    <row r="6" spans="1:39" x14ac:dyDescent="0.3">
      <c r="A6" s="47">
        <v>10</v>
      </c>
      <c r="B6" s="42">
        <v>700</v>
      </c>
      <c r="C6" s="50">
        <v>44946.556805555709</v>
      </c>
      <c r="D6" s="48">
        <v>6</v>
      </c>
      <c r="E6" s="42">
        <v>1000</v>
      </c>
      <c r="F6" s="38">
        <v>44977.517893518321</v>
      </c>
      <c r="H6" s="56">
        <v>6</v>
      </c>
      <c r="I6" s="55">
        <v>1000</v>
      </c>
      <c r="J6" s="57">
        <v>45005.559583333321</v>
      </c>
      <c r="K6" s="56">
        <v>10</v>
      </c>
      <c r="L6" s="55">
        <v>700</v>
      </c>
      <c r="M6" s="57" t="s">
        <v>189</v>
      </c>
      <c r="N6" s="56">
        <v>10</v>
      </c>
      <c r="O6" s="55">
        <v>700</v>
      </c>
      <c r="P6" s="57" t="s">
        <v>210</v>
      </c>
      <c r="Q6" s="56">
        <v>10</v>
      </c>
      <c r="R6">
        <v>700</v>
      </c>
      <c r="S6" s="88">
        <v>45097.505706018303</v>
      </c>
      <c r="T6" s="47">
        <v>10</v>
      </c>
      <c r="U6" s="42">
        <v>700</v>
      </c>
      <c r="V6" s="89">
        <v>45129.417708333116</v>
      </c>
      <c r="W6" s="47">
        <v>9</v>
      </c>
      <c r="X6" s="42">
        <v>1000</v>
      </c>
      <c r="Y6" s="89">
        <v>45156.535358796362</v>
      </c>
      <c r="Z6" s="47">
        <v>10</v>
      </c>
      <c r="AA6" s="98">
        <v>725</v>
      </c>
      <c r="AB6" s="99">
        <v>45189.545937499963</v>
      </c>
      <c r="AC6" s="47">
        <v>8</v>
      </c>
      <c r="AD6" s="106">
        <v>8500</v>
      </c>
      <c r="AE6" s="115">
        <v>45217</v>
      </c>
      <c r="AF6" s="116">
        <v>4</v>
      </c>
      <c r="AG6" s="93">
        <v>6000</v>
      </c>
      <c r="AH6" s="107" t="s">
        <v>262</v>
      </c>
      <c r="AI6" s="116">
        <v>5</v>
      </c>
      <c r="AJ6" s="93">
        <v>7100</v>
      </c>
      <c r="AK6" s="93" t="s">
        <v>289</v>
      </c>
      <c r="AL6" s="93"/>
      <c r="AM6" s="93"/>
    </row>
    <row r="7" spans="1:39" x14ac:dyDescent="0.3">
      <c r="A7" s="47">
        <v>10</v>
      </c>
      <c r="B7" s="42">
        <v>1000</v>
      </c>
      <c r="C7" s="50">
        <v>44949.396539351903</v>
      </c>
      <c r="D7" s="48">
        <v>7</v>
      </c>
      <c r="E7" s="42">
        <v>3660</v>
      </c>
      <c r="F7" s="38">
        <v>44963.744756944478</v>
      </c>
      <c r="G7" s="53"/>
      <c r="H7" s="56">
        <v>10</v>
      </c>
      <c r="I7" s="55">
        <v>700</v>
      </c>
      <c r="J7" s="57">
        <v>45005.555925925728</v>
      </c>
      <c r="K7" s="56">
        <v>10</v>
      </c>
      <c r="L7" s="55">
        <v>1000</v>
      </c>
      <c r="M7" s="57" t="s">
        <v>189</v>
      </c>
      <c r="N7" s="56">
        <v>11</v>
      </c>
      <c r="O7" s="55">
        <v>700</v>
      </c>
      <c r="P7" s="57" t="s">
        <v>210</v>
      </c>
      <c r="Q7" s="56">
        <v>11</v>
      </c>
      <c r="R7">
        <v>700</v>
      </c>
      <c r="S7" s="88">
        <v>45097.512048610952</v>
      </c>
      <c r="T7" s="47">
        <v>11</v>
      </c>
      <c r="U7" s="42">
        <v>700</v>
      </c>
      <c r="V7" s="89">
        <v>45129.415833333507</v>
      </c>
      <c r="W7" s="47">
        <v>10</v>
      </c>
      <c r="X7" s="42">
        <v>700</v>
      </c>
      <c r="Y7" s="89">
        <v>45158.721111111343</v>
      </c>
      <c r="Z7" s="47">
        <v>11</v>
      </c>
      <c r="AA7" s="98">
        <v>725</v>
      </c>
      <c r="AB7" s="99">
        <v>45189.549178240741</v>
      </c>
      <c r="AC7" s="47">
        <v>13</v>
      </c>
      <c r="AD7" s="106">
        <v>15000</v>
      </c>
      <c r="AE7" s="115">
        <v>45212</v>
      </c>
      <c r="AF7" s="116">
        <v>4</v>
      </c>
      <c r="AG7" s="93">
        <v>6400</v>
      </c>
      <c r="AH7" s="107" t="s">
        <v>262</v>
      </c>
      <c r="AI7" s="116">
        <v>6</v>
      </c>
      <c r="AJ7" s="93">
        <v>767</v>
      </c>
      <c r="AK7" s="93" t="s">
        <v>290</v>
      </c>
      <c r="AL7" s="93"/>
      <c r="AM7" s="93"/>
    </row>
    <row r="8" spans="1:39" x14ac:dyDescent="0.3">
      <c r="A8" s="47">
        <v>11</v>
      </c>
      <c r="B8" s="42">
        <v>700</v>
      </c>
      <c r="C8" s="50">
        <v>44946.547418981325</v>
      </c>
      <c r="D8" s="48">
        <v>8</v>
      </c>
      <c r="E8" s="42">
        <v>3660</v>
      </c>
      <c r="F8" s="38">
        <v>44963.745416666847</v>
      </c>
      <c r="H8" s="56">
        <v>10</v>
      </c>
      <c r="I8" s="55">
        <v>1000</v>
      </c>
      <c r="J8" s="57">
        <v>45005.559490740765</v>
      </c>
      <c r="K8" s="56">
        <v>11</v>
      </c>
      <c r="L8" s="55">
        <v>700</v>
      </c>
      <c r="M8" s="57" t="s">
        <v>189</v>
      </c>
      <c r="N8" s="56">
        <v>50</v>
      </c>
      <c r="O8" s="55">
        <v>4150</v>
      </c>
      <c r="P8" s="57" t="s">
        <v>212</v>
      </c>
      <c r="Q8" s="56">
        <v>17</v>
      </c>
      <c r="R8">
        <v>1875</v>
      </c>
      <c r="S8" s="88">
        <v>45086.857928240672</v>
      </c>
      <c r="T8" s="47">
        <v>14</v>
      </c>
      <c r="U8" s="42">
        <v>881</v>
      </c>
      <c r="V8" s="89">
        <v>45135.577546296176</v>
      </c>
      <c r="W8" s="47">
        <v>11</v>
      </c>
      <c r="X8" s="42">
        <v>700</v>
      </c>
      <c r="Y8" s="89">
        <v>45158.721655092668</v>
      </c>
      <c r="Z8" s="47">
        <v>14</v>
      </c>
      <c r="AA8" s="98">
        <v>767</v>
      </c>
      <c r="AB8" s="99">
        <v>45182.504074073862</v>
      </c>
      <c r="AC8" s="47">
        <v>14</v>
      </c>
      <c r="AD8" s="106">
        <v>350</v>
      </c>
      <c r="AE8" s="115">
        <v>45211</v>
      </c>
      <c r="AF8" s="116">
        <v>6</v>
      </c>
      <c r="AG8" s="93">
        <v>1009</v>
      </c>
      <c r="AH8" s="107" t="s">
        <v>263</v>
      </c>
      <c r="AI8" s="116">
        <v>9</v>
      </c>
      <c r="AJ8" s="93">
        <v>15.71</v>
      </c>
      <c r="AK8" s="93" t="s">
        <v>291</v>
      </c>
      <c r="AL8" s="93"/>
      <c r="AM8" s="93"/>
    </row>
    <row r="9" spans="1:39" x14ac:dyDescent="0.3">
      <c r="A9" s="47">
        <v>11</v>
      </c>
      <c r="B9" s="42">
        <v>1000</v>
      </c>
      <c r="C9" s="50">
        <v>44949.404421296436</v>
      </c>
      <c r="D9" s="48">
        <v>9</v>
      </c>
      <c r="E9" s="42">
        <v>500</v>
      </c>
      <c r="F9" s="38">
        <v>44974.561678240541</v>
      </c>
      <c r="H9" s="56">
        <v>11</v>
      </c>
      <c r="I9" s="55">
        <v>700</v>
      </c>
      <c r="J9" s="57">
        <v>45005.555682870559</v>
      </c>
      <c r="K9" s="56">
        <v>11</v>
      </c>
      <c r="L9" s="55">
        <v>1000</v>
      </c>
      <c r="M9" s="57" t="s">
        <v>189</v>
      </c>
      <c r="N9" s="56">
        <v>53</v>
      </c>
      <c r="O9" s="55">
        <v>4000</v>
      </c>
      <c r="P9" s="57" t="s">
        <v>213</v>
      </c>
      <c r="Q9" s="56">
        <v>17</v>
      </c>
      <c r="R9">
        <v>8500</v>
      </c>
      <c r="S9" s="88">
        <v>45086.863784722053</v>
      </c>
      <c r="T9" s="47">
        <v>18</v>
      </c>
      <c r="U9" s="42">
        <v>4250</v>
      </c>
      <c r="V9" s="89">
        <v>45121.924317129422</v>
      </c>
      <c r="W9" s="47">
        <v>16</v>
      </c>
      <c r="X9" s="42">
        <v>2125</v>
      </c>
      <c r="Y9" s="89">
        <v>45141.49252314819</v>
      </c>
      <c r="Z9" s="47">
        <v>16</v>
      </c>
      <c r="AA9" s="98">
        <v>3000</v>
      </c>
      <c r="AB9" s="99">
        <v>45196</v>
      </c>
      <c r="AC9" s="47">
        <v>14</v>
      </c>
      <c r="AD9" s="106">
        <v>767</v>
      </c>
      <c r="AE9" s="115">
        <v>45211</v>
      </c>
      <c r="AF9" s="116">
        <v>6</v>
      </c>
      <c r="AG9" s="93">
        <v>767</v>
      </c>
      <c r="AH9" s="107" t="s">
        <v>264</v>
      </c>
      <c r="AI9" s="116">
        <v>9</v>
      </c>
      <c r="AJ9" s="93">
        <v>24.75</v>
      </c>
      <c r="AK9" s="93" t="s">
        <v>291</v>
      </c>
      <c r="AL9" s="93"/>
      <c r="AM9" s="93"/>
    </row>
    <row r="10" spans="1:39" x14ac:dyDescent="0.3">
      <c r="A10" s="47">
        <v>21</v>
      </c>
      <c r="B10" s="42">
        <v>8417</v>
      </c>
      <c r="C10" s="50">
        <v>44937.792465277947</v>
      </c>
      <c r="D10" s="48">
        <v>9</v>
      </c>
      <c r="E10" s="42">
        <v>8000</v>
      </c>
      <c r="F10" s="38">
        <v>44977.221516203601</v>
      </c>
      <c r="H10" s="56">
        <v>11</v>
      </c>
      <c r="I10" s="55">
        <v>1000</v>
      </c>
      <c r="J10" s="57">
        <v>45005.55940972222</v>
      </c>
      <c r="K10" s="56">
        <v>15</v>
      </c>
      <c r="L10" s="55">
        <v>500</v>
      </c>
      <c r="M10" s="57" t="s">
        <v>190</v>
      </c>
      <c r="N10" s="56">
        <v>55</v>
      </c>
      <c r="O10" s="55">
        <v>4250</v>
      </c>
      <c r="P10" s="57" t="s">
        <v>214</v>
      </c>
      <c r="Q10" s="56">
        <v>26</v>
      </c>
      <c r="R10">
        <v>4000</v>
      </c>
      <c r="S10" s="88">
        <v>45104.07895833347</v>
      </c>
      <c r="T10" s="47">
        <v>21</v>
      </c>
      <c r="U10" s="42">
        <v>3540</v>
      </c>
      <c r="V10" s="89">
        <v>45112.692141203675</v>
      </c>
      <c r="W10" s="47">
        <v>16</v>
      </c>
      <c r="X10" s="42">
        <v>4250</v>
      </c>
      <c r="Y10" s="89">
        <v>45156.52164351847</v>
      </c>
      <c r="Z10" s="47">
        <v>20</v>
      </c>
      <c r="AA10" s="98">
        <v>11000</v>
      </c>
      <c r="AB10" s="100">
        <v>45188.78434027778</v>
      </c>
      <c r="AC10" s="47">
        <v>15</v>
      </c>
      <c r="AD10" s="106">
        <v>2825</v>
      </c>
      <c r="AE10" s="115">
        <v>45210</v>
      </c>
      <c r="AF10" s="116">
        <v>9</v>
      </c>
      <c r="AG10" s="93">
        <v>2000</v>
      </c>
      <c r="AH10" s="107" t="s">
        <v>265</v>
      </c>
      <c r="AI10" s="116">
        <v>9</v>
      </c>
      <c r="AJ10" s="93">
        <v>48.45</v>
      </c>
      <c r="AK10" s="93" t="s">
        <v>291</v>
      </c>
      <c r="AL10" s="93"/>
      <c r="AM10" s="93"/>
    </row>
    <row r="11" spans="1:39" x14ac:dyDescent="0.3">
      <c r="A11" s="47">
        <v>32</v>
      </c>
      <c r="B11" s="42">
        <v>4500</v>
      </c>
      <c r="C11" s="50">
        <v>44952.716562500224</v>
      </c>
      <c r="D11" s="48">
        <v>10</v>
      </c>
      <c r="E11" s="42">
        <v>700</v>
      </c>
      <c r="F11" s="38">
        <v>44977.517847222276</v>
      </c>
      <c r="H11" s="56">
        <v>23</v>
      </c>
      <c r="I11" s="55">
        <v>500</v>
      </c>
      <c r="J11" s="57">
        <v>44991.653703703545</v>
      </c>
      <c r="K11" s="56">
        <v>15</v>
      </c>
      <c r="L11" s="55">
        <v>4250</v>
      </c>
      <c r="M11" s="57" t="s">
        <v>190</v>
      </c>
      <c r="N11" s="56">
        <v>57</v>
      </c>
      <c r="O11" s="55">
        <v>3000</v>
      </c>
      <c r="P11" s="57" t="s">
        <v>215</v>
      </c>
      <c r="Q11" s="56">
        <v>38</v>
      </c>
      <c r="R11">
        <v>4000</v>
      </c>
      <c r="S11" s="88">
        <v>45087.139895833563</v>
      </c>
      <c r="T11" s="47">
        <v>22</v>
      </c>
      <c r="U11" s="42">
        <v>500</v>
      </c>
      <c r="V11" s="89">
        <v>45127.525682870299</v>
      </c>
      <c r="W11" s="47">
        <v>25</v>
      </c>
      <c r="X11" s="42">
        <v>4000</v>
      </c>
      <c r="Y11" s="89">
        <v>45159.226180555765</v>
      </c>
      <c r="Z11" s="47">
        <v>27</v>
      </c>
      <c r="AA11" s="98">
        <v>2825</v>
      </c>
      <c r="AB11" s="99">
        <v>45195</v>
      </c>
      <c r="AC11" s="47">
        <v>26</v>
      </c>
      <c r="AD11" s="106">
        <v>6000</v>
      </c>
      <c r="AE11" s="115">
        <v>45226</v>
      </c>
      <c r="AF11" s="116">
        <v>10</v>
      </c>
      <c r="AG11" s="93">
        <v>1009</v>
      </c>
      <c r="AH11" s="107" t="s">
        <v>263</v>
      </c>
      <c r="AI11" s="116">
        <v>9</v>
      </c>
      <c r="AJ11" s="93">
        <v>131.57</v>
      </c>
      <c r="AK11" s="93" t="s">
        <v>291</v>
      </c>
      <c r="AL11" s="93"/>
      <c r="AM11" s="93"/>
    </row>
    <row r="12" spans="1:39" x14ac:dyDescent="0.3">
      <c r="A12" s="47">
        <v>36</v>
      </c>
      <c r="B12" s="42">
        <v>4250</v>
      </c>
      <c r="C12" s="50">
        <v>44942.687222222332</v>
      </c>
      <c r="D12" s="48">
        <v>10</v>
      </c>
      <c r="E12" s="42">
        <v>1000</v>
      </c>
      <c r="F12" s="38">
        <v>44977.520798610989</v>
      </c>
      <c r="H12" s="56">
        <v>23</v>
      </c>
      <c r="I12" s="55">
        <v>3500</v>
      </c>
      <c r="J12" s="57">
        <v>44991.63945601834</v>
      </c>
      <c r="K12" s="56">
        <v>19</v>
      </c>
      <c r="L12" s="55">
        <v>4750</v>
      </c>
      <c r="M12" s="57" t="s">
        <v>190</v>
      </c>
      <c r="N12" s="56">
        <v>59</v>
      </c>
      <c r="O12" s="55">
        <v>1000</v>
      </c>
      <c r="P12" s="57" t="s">
        <v>215</v>
      </c>
      <c r="Q12" s="56">
        <v>42</v>
      </c>
      <c r="R12">
        <v>2000</v>
      </c>
      <c r="S12" s="88">
        <v>45078.612523148302</v>
      </c>
      <c r="T12" s="47">
        <v>22</v>
      </c>
      <c r="U12" s="42">
        <v>8500</v>
      </c>
      <c r="V12" s="89">
        <v>45127.524189814925</v>
      </c>
      <c r="W12" s="47">
        <v>25</v>
      </c>
      <c r="X12" s="42">
        <v>8500</v>
      </c>
      <c r="Y12" s="89">
        <v>45159.207731481642</v>
      </c>
      <c r="Z12" s="47">
        <v>31</v>
      </c>
      <c r="AA12" s="98">
        <v>6000</v>
      </c>
      <c r="AB12" s="99">
        <v>45186.549999999814</v>
      </c>
      <c r="AC12" s="47">
        <v>30</v>
      </c>
      <c r="AD12" s="106">
        <v>3068</v>
      </c>
      <c r="AE12" s="115">
        <v>45209</v>
      </c>
      <c r="AF12" s="116">
        <v>10</v>
      </c>
      <c r="AG12" s="93">
        <v>767</v>
      </c>
      <c r="AH12" s="107" t="s">
        <v>264</v>
      </c>
      <c r="AI12" s="116">
        <v>9</v>
      </c>
      <c r="AJ12" s="93">
        <v>12000</v>
      </c>
      <c r="AK12" s="93" t="s">
        <v>290</v>
      </c>
      <c r="AL12" s="93">
        <v>1519.72</v>
      </c>
      <c r="AM12" s="93">
        <v>3000</v>
      </c>
    </row>
    <row r="13" spans="1:39" x14ac:dyDescent="0.3">
      <c r="A13" s="47">
        <v>36</v>
      </c>
      <c r="B13" s="42">
        <v>4500</v>
      </c>
      <c r="C13" s="50">
        <v>44942.678877315018</v>
      </c>
      <c r="D13" s="48">
        <v>11</v>
      </c>
      <c r="E13" s="42">
        <v>700</v>
      </c>
      <c r="F13" s="38">
        <v>44977.517974536866</v>
      </c>
      <c r="H13" s="56">
        <v>30</v>
      </c>
      <c r="I13" s="55">
        <v>3450</v>
      </c>
      <c r="J13" s="57">
        <v>45001.730856481474</v>
      </c>
      <c r="K13" s="56">
        <v>28</v>
      </c>
      <c r="L13" s="55">
        <v>4250</v>
      </c>
      <c r="M13" s="57" t="s">
        <v>191</v>
      </c>
      <c r="N13" s="56">
        <v>60</v>
      </c>
      <c r="O13" s="55">
        <v>3000</v>
      </c>
      <c r="P13" s="57" t="s">
        <v>213</v>
      </c>
      <c r="Q13" s="56">
        <v>43</v>
      </c>
      <c r="R13">
        <v>2000</v>
      </c>
      <c r="S13" s="88">
        <v>45078.595497685019</v>
      </c>
      <c r="T13" s="47">
        <v>24</v>
      </c>
      <c r="U13" s="42">
        <v>4000</v>
      </c>
      <c r="V13" s="89">
        <v>45134.981666666456</v>
      </c>
      <c r="W13" s="47">
        <v>29</v>
      </c>
      <c r="X13" s="42">
        <v>710</v>
      </c>
      <c r="Y13" s="89">
        <v>45159.771701388992</v>
      </c>
      <c r="Z13" s="47">
        <v>33</v>
      </c>
      <c r="AA13" s="98">
        <v>1000</v>
      </c>
      <c r="AB13" s="99">
        <v>45197</v>
      </c>
      <c r="AC13" s="47">
        <v>30</v>
      </c>
      <c r="AD13" s="106">
        <v>6000</v>
      </c>
      <c r="AE13" s="115">
        <v>45225</v>
      </c>
      <c r="AF13" s="116">
        <v>11</v>
      </c>
      <c r="AG13" s="93">
        <v>1009</v>
      </c>
      <c r="AH13" s="107" t="s">
        <v>263</v>
      </c>
      <c r="AI13" s="116">
        <v>10</v>
      </c>
      <c r="AJ13" s="93">
        <v>767</v>
      </c>
      <c r="AK13" s="93" t="s">
        <v>290</v>
      </c>
      <c r="AL13" s="93"/>
      <c r="AM13" s="93"/>
    </row>
    <row r="14" spans="1:39" x14ac:dyDescent="0.3">
      <c r="A14" s="47">
        <v>41</v>
      </c>
      <c r="B14" s="42">
        <v>500</v>
      </c>
      <c r="C14" s="50">
        <v>44935.800335648004</v>
      </c>
      <c r="D14" s="48">
        <v>11</v>
      </c>
      <c r="E14" s="42">
        <v>1000</v>
      </c>
      <c r="F14" s="38">
        <v>44977.518043981399</v>
      </c>
      <c r="H14" s="56">
        <v>31</v>
      </c>
      <c r="I14" s="55">
        <v>3450</v>
      </c>
      <c r="J14" s="57">
        <v>45001.728831018321</v>
      </c>
      <c r="K14" s="56">
        <v>39</v>
      </c>
      <c r="L14" s="55">
        <v>500</v>
      </c>
      <c r="M14" s="57" t="s">
        <v>192</v>
      </c>
      <c r="N14" s="56">
        <v>66</v>
      </c>
      <c r="O14" s="55">
        <v>28560</v>
      </c>
      <c r="P14" s="57" t="s">
        <v>213</v>
      </c>
      <c r="Q14" s="56">
        <v>44</v>
      </c>
      <c r="R14">
        <v>5900</v>
      </c>
      <c r="S14" s="88">
        <v>45085.659456018358</v>
      </c>
      <c r="T14" s="47">
        <v>28</v>
      </c>
      <c r="U14" s="42">
        <v>4000</v>
      </c>
      <c r="V14" s="89">
        <v>45129.517673611175</v>
      </c>
      <c r="W14" s="47">
        <v>29</v>
      </c>
      <c r="X14" s="42">
        <v>5417</v>
      </c>
      <c r="Y14" s="89">
        <v>45159.621666666586</v>
      </c>
      <c r="Z14" s="47">
        <v>40</v>
      </c>
      <c r="AA14" s="98">
        <v>5000</v>
      </c>
      <c r="AB14" s="99">
        <v>45198</v>
      </c>
      <c r="AC14" s="47">
        <v>31</v>
      </c>
      <c r="AD14" s="106">
        <v>3068</v>
      </c>
      <c r="AE14" s="115">
        <v>45209</v>
      </c>
      <c r="AF14" s="116">
        <v>11</v>
      </c>
      <c r="AG14" s="93">
        <v>767</v>
      </c>
      <c r="AH14" s="107" t="s">
        <v>264</v>
      </c>
      <c r="AI14" s="116">
        <v>11</v>
      </c>
      <c r="AJ14" s="93">
        <v>767</v>
      </c>
      <c r="AK14" s="93" t="s">
        <v>290</v>
      </c>
      <c r="AL14" s="93"/>
      <c r="AM14" s="93"/>
    </row>
    <row r="15" spans="1:39" x14ac:dyDescent="0.3">
      <c r="A15" s="47">
        <v>41</v>
      </c>
      <c r="B15" s="42">
        <v>4250</v>
      </c>
      <c r="C15" s="50">
        <v>44935.808877314907</v>
      </c>
      <c r="D15" s="48">
        <v>20</v>
      </c>
      <c r="E15" s="42">
        <v>500</v>
      </c>
      <c r="F15" s="38">
        <v>44977.089618055616</v>
      </c>
      <c r="H15" s="56">
        <v>33</v>
      </c>
      <c r="I15" s="55">
        <v>8300</v>
      </c>
      <c r="J15" s="57">
        <v>45002.658912037034</v>
      </c>
      <c r="K15" s="56">
        <v>39</v>
      </c>
      <c r="L15" s="55">
        <v>4250</v>
      </c>
      <c r="M15" s="57" t="s">
        <v>192</v>
      </c>
      <c r="N15" s="56">
        <v>71</v>
      </c>
      <c r="O15" s="55">
        <v>2100</v>
      </c>
      <c r="P15" s="57" t="s">
        <v>216</v>
      </c>
      <c r="Q15" s="56">
        <v>48</v>
      </c>
      <c r="R15">
        <v>8500</v>
      </c>
      <c r="S15" s="88">
        <v>45096.725451388862</v>
      </c>
      <c r="T15" s="47">
        <v>28</v>
      </c>
      <c r="U15" s="42">
        <v>4250</v>
      </c>
      <c r="V15" s="89">
        <v>45133.631469907239</v>
      </c>
      <c r="W15" s="47">
        <v>36</v>
      </c>
      <c r="X15" s="42">
        <v>4250</v>
      </c>
      <c r="Y15" s="89">
        <v>45146.313564814627</v>
      </c>
      <c r="Z15" s="47">
        <v>41</v>
      </c>
      <c r="AA15" s="98">
        <v>1000</v>
      </c>
      <c r="AB15" s="99">
        <v>45178.140879629645</v>
      </c>
      <c r="AC15" s="47">
        <v>35</v>
      </c>
      <c r="AD15" s="106">
        <v>12300</v>
      </c>
      <c r="AE15" s="115">
        <v>45214</v>
      </c>
      <c r="AF15" s="116">
        <v>14</v>
      </c>
      <c r="AG15" s="93">
        <v>500</v>
      </c>
      <c r="AH15" s="107">
        <v>45243</v>
      </c>
      <c r="AI15" s="116">
        <v>14</v>
      </c>
      <c r="AJ15" s="93">
        <v>767</v>
      </c>
      <c r="AK15" s="93" t="s">
        <v>292</v>
      </c>
      <c r="AL15" s="93"/>
      <c r="AM15" s="93"/>
    </row>
    <row r="16" spans="1:39" x14ac:dyDescent="0.3">
      <c r="A16" s="47">
        <v>44</v>
      </c>
      <c r="B16" s="42">
        <v>5000</v>
      </c>
      <c r="C16" s="50">
        <v>44953.555775463115</v>
      </c>
      <c r="D16" s="48">
        <v>20</v>
      </c>
      <c r="E16" s="42">
        <v>5750</v>
      </c>
      <c r="F16" s="38">
        <v>44977.085798610933</v>
      </c>
      <c r="H16" s="56">
        <v>42</v>
      </c>
      <c r="I16" s="55">
        <v>4000</v>
      </c>
      <c r="J16" s="57">
        <v>44987.632766203489</v>
      </c>
      <c r="K16" s="56">
        <v>44</v>
      </c>
      <c r="L16" s="55">
        <v>500</v>
      </c>
      <c r="M16" s="57" t="s">
        <v>193</v>
      </c>
      <c r="N16" s="56">
        <v>78</v>
      </c>
      <c r="O16" s="55">
        <v>3000</v>
      </c>
      <c r="P16" s="57" t="s">
        <v>217</v>
      </c>
      <c r="Q16" s="56">
        <v>49</v>
      </c>
      <c r="R16">
        <v>4250</v>
      </c>
      <c r="S16" s="88">
        <v>45082.721446759067</v>
      </c>
      <c r="T16" s="47">
        <v>30</v>
      </c>
      <c r="U16" s="42">
        <v>2125</v>
      </c>
      <c r="V16" s="89">
        <v>45124.655335647985</v>
      </c>
      <c r="W16" s="47">
        <v>38</v>
      </c>
      <c r="X16" s="42">
        <v>4500</v>
      </c>
      <c r="Y16" s="89">
        <v>45154.590567129664</v>
      </c>
      <c r="Z16" s="47">
        <v>42</v>
      </c>
      <c r="AA16" s="98">
        <v>1000</v>
      </c>
      <c r="AB16" s="99">
        <v>45176.469872685149</v>
      </c>
      <c r="AC16" s="47">
        <v>39</v>
      </c>
      <c r="AD16" s="106">
        <v>4600</v>
      </c>
      <c r="AE16" s="115">
        <v>45212</v>
      </c>
      <c r="AF16" s="116">
        <v>14</v>
      </c>
      <c r="AG16" s="93">
        <v>767</v>
      </c>
      <c r="AH16" s="107">
        <v>45243</v>
      </c>
      <c r="AI16" s="116">
        <v>14</v>
      </c>
      <c r="AJ16" s="93">
        <v>1500</v>
      </c>
      <c r="AK16" s="93" t="s">
        <v>292</v>
      </c>
      <c r="AL16" s="93"/>
      <c r="AM16" s="93"/>
    </row>
    <row r="17" spans="1:39" x14ac:dyDescent="0.3">
      <c r="A17" s="47">
        <v>50</v>
      </c>
      <c r="B17" s="42">
        <v>4150</v>
      </c>
      <c r="C17" s="50">
        <v>44937.727615740616</v>
      </c>
      <c r="D17" s="48">
        <v>24</v>
      </c>
      <c r="E17" s="42">
        <v>867</v>
      </c>
      <c r="F17" s="38">
        <v>44963.425196759403</v>
      </c>
      <c r="H17" s="56">
        <v>59</v>
      </c>
      <c r="I17" s="55">
        <v>2000</v>
      </c>
      <c r="J17" s="57">
        <v>45008.557337963022</v>
      </c>
      <c r="K17" s="56">
        <v>59</v>
      </c>
      <c r="L17" s="55">
        <v>2500</v>
      </c>
      <c r="M17" s="57" t="s">
        <v>194</v>
      </c>
      <c r="N17" s="56">
        <v>79</v>
      </c>
      <c r="O17" s="55">
        <v>3540</v>
      </c>
      <c r="P17" s="57" t="s">
        <v>218</v>
      </c>
      <c r="Q17" s="56">
        <v>54</v>
      </c>
      <c r="R17">
        <v>4100</v>
      </c>
      <c r="S17" s="88">
        <v>45106.750717592426</v>
      </c>
      <c r="T17" s="47">
        <v>31</v>
      </c>
      <c r="U17" s="42">
        <v>2125</v>
      </c>
      <c r="V17" s="89">
        <v>45124.660775463097</v>
      </c>
      <c r="W17" s="47">
        <v>42</v>
      </c>
      <c r="X17" s="42">
        <v>1000</v>
      </c>
      <c r="Y17" s="89">
        <v>45139.622118055355</v>
      </c>
      <c r="Z17" s="47">
        <v>43</v>
      </c>
      <c r="AA17" s="98">
        <v>1000</v>
      </c>
      <c r="AB17" s="99">
        <v>45176.48554398166</v>
      </c>
      <c r="AC17" s="47">
        <v>51</v>
      </c>
      <c r="AD17" s="106">
        <v>9200</v>
      </c>
      <c r="AE17" s="115">
        <v>45201</v>
      </c>
      <c r="AF17" s="116">
        <v>15</v>
      </c>
      <c r="AG17" s="93">
        <v>6000</v>
      </c>
      <c r="AH17" s="107">
        <v>45242</v>
      </c>
      <c r="AI17" s="116">
        <v>21</v>
      </c>
      <c r="AJ17" s="93">
        <v>4600</v>
      </c>
      <c r="AK17" s="93" t="s">
        <v>293</v>
      </c>
      <c r="AL17" s="93"/>
      <c r="AM17" s="93"/>
    </row>
    <row r="18" spans="1:39" ht="14.4" customHeight="1" x14ac:dyDescent="0.3">
      <c r="A18" s="47">
        <v>50</v>
      </c>
      <c r="B18" s="42">
        <v>8500</v>
      </c>
      <c r="C18" s="50">
        <v>44937.725914351642</v>
      </c>
      <c r="D18" s="48">
        <v>27</v>
      </c>
      <c r="E18" s="42">
        <v>9000</v>
      </c>
      <c r="F18" s="38">
        <v>44972.502245370299</v>
      </c>
      <c r="H18" s="56">
        <v>78</v>
      </c>
      <c r="I18" s="55">
        <v>2016</v>
      </c>
      <c r="J18" s="57" t="s">
        <v>184</v>
      </c>
      <c r="K18" s="56">
        <v>76</v>
      </c>
      <c r="L18" s="55">
        <v>16600</v>
      </c>
      <c r="M18" s="57" t="s">
        <v>195</v>
      </c>
      <c r="N18" s="56" t="s">
        <v>219</v>
      </c>
      <c r="O18" s="55">
        <v>6225</v>
      </c>
      <c r="P18" s="57" t="s">
        <v>218</v>
      </c>
      <c r="Q18" s="56">
        <v>59</v>
      </c>
      <c r="R18">
        <v>1500</v>
      </c>
      <c r="S18" s="88">
        <v>45107.444131944329</v>
      </c>
      <c r="T18" s="47">
        <v>34</v>
      </c>
      <c r="U18" s="42">
        <v>8500</v>
      </c>
      <c r="V18" s="89">
        <v>45126.496539351996</v>
      </c>
      <c r="W18" s="47">
        <v>43</v>
      </c>
      <c r="X18" s="42">
        <v>1000</v>
      </c>
      <c r="Y18" s="89">
        <v>45139.625763888936</v>
      </c>
      <c r="Z18" s="47">
        <v>46</v>
      </c>
      <c r="AA18" s="98">
        <v>8500</v>
      </c>
      <c r="AB18" s="99">
        <v>45173.192835648078</v>
      </c>
      <c r="AC18" s="47">
        <v>53</v>
      </c>
      <c r="AD18" s="106">
        <v>8500</v>
      </c>
      <c r="AE18" s="115">
        <v>45211</v>
      </c>
      <c r="AF18" s="116">
        <v>17</v>
      </c>
      <c r="AG18" s="93">
        <v>6000</v>
      </c>
      <c r="AH18" s="107" t="s">
        <v>266</v>
      </c>
      <c r="AI18" s="116">
        <v>29</v>
      </c>
      <c r="AJ18" s="93">
        <v>9200</v>
      </c>
      <c r="AK18" s="93" t="s">
        <v>294</v>
      </c>
      <c r="AL18" s="93"/>
      <c r="AM18" s="93"/>
    </row>
    <row r="19" spans="1:39" ht="14.4" customHeight="1" x14ac:dyDescent="0.3">
      <c r="A19" s="47">
        <v>51</v>
      </c>
      <c r="B19" s="42">
        <v>500</v>
      </c>
      <c r="C19" s="50">
        <v>44956.791608796455</v>
      </c>
      <c r="D19" s="48">
        <v>40</v>
      </c>
      <c r="E19" s="42">
        <v>500</v>
      </c>
      <c r="F19" s="38">
        <v>44973.789907407481</v>
      </c>
      <c r="H19" s="56">
        <v>78</v>
      </c>
      <c r="I19" s="55">
        <v>2300</v>
      </c>
      <c r="J19" s="57" t="s">
        <v>184</v>
      </c>
      <c r="K19" s="56">
        <v>78</v>
      </c>
      <c r="L19" s="55">
        <v>3000</v>
      </c>
      <c r="M19" s="57" t="s">
        <v>190</v>
      </c>
      <c r="N19" s="56">
        <v>95</v>
      </c>
      <c r="O19" s="55">
        <v>4500</v>
      </c>
      <c r="P19" s="57" t="s">
        <v>220</v>
      </c>
      <c r="Q19" s="56">
        <v>77</v>
      </c>
      <c r="R19">
        <v>4150</v>
      </c>
      <c r="S19" s="88">
        <v>45091.674293981399</v>
      </c>
      <c r="T19" s="47">
        <v>41</v>
      </c>
      <c r="U19" s="42">
        <v>4500</v>
      </c>
      <c r="V19" s="89">
        <v>45122.16255787015</v>
      </c>
      <c r="W19" s="47">
        <v>47</v>
      </c>
      <c r="X19" s="42">
        <v>4000</v>
      </c>
      <c r="Y19" s="89">
        <v>45160.735659722239</v>
      </c>
      <c r="Z19" s="47">
        <v>48</v>
      </c>
      <c r="AA19" s="98">
        <v>4000</v>
      </c>
      <c r="AB19" s="99">
        <v>45174.068865740672</v>
      </c>
      <c r="AC19" s="47">
        <v>57</v>
      </c>
      <c r="AD19" s="106">
        <v>2000</v>
      </c>
      <c r="AE19" s="115">
        <v>45222</v>
      </c>
      <c r="AF19" s="116">
        <v>18</v>
      </c>
      <c r="AG19" s="93">
        <v>2000</v>
      </c>
      <c r="AH19" s="107" t="s">
        <v>267</v>
      </c>
      <c r="AI19" s="116">
        <v>32</v>
      </c>
      <c r="AJ19" s="93">
        <v>3000</v>
      </c>
      <c r="AK19" s="93" t="s">
        <v>295</v>
      </c>
      <c r="AL19" s="93"/>
      <c r="AM19" s="93"/>
    </row>
    <row r="20" spans="1:39" x14ac:dyDescent="0.3">
      <c r="A20" s="47">
        <v>51</v>
      </c>
      <c r="B20" s="42">
        <v>8500</v>
      </c>
      <c r="C20" s="50">
        <v>44956.78204861097</v>
      </c>
      <c r="D20" s="48">
        <v>40</v>
      </c>
      <c r="E20" s="42">
        <v>8300</v>
      </c>
      <c r="F20" s="38">
        <v>44973.788379629608</v>
      </c>
      <c r="H20" s="56">
        <v>88</v>
      </c>
      <c r="I20" s="55">
        <v>500</v>
      </c>
      <c r="J20" s="57">
        <v>44992.780775462743</v>
      </c>
      <c r="K20" s="56">
        <v>80</v>
      </c>
      <c r="L20" s="55">
        <v>1000</v>
      </c>
      <c r="M20" s="57" t="s">
        <v>196</v>
      </c>
      <c r="N20" s="56">
        <v>96</v>
      </c>
      <c r="O20" s="55">
        <v>3500</v>
      </c>
      <c r="P20" s="57" t="s">
        <v>220</v>
      </c>
      <c r="Q20" s="56">
        <v>80</v>
      </c>
      <c r="R20">
        <v>1000</v>
      </c>
      <c r="S20" s="88">
        <v>45082.177048610989</v>
      </c>
      <c r="T20" s="47">
        <v>47</v>
      </c>
      <c r="U20" s="42">
        <v>8500</v>
      </c>
      <c r="V20" s="89">
        <v>45132.640092592686</v>
      </c>
      <c r="W20" s="47">
        <v>54</v>
      </c>
      <c r="X20" s="42">
        <v>8400</v>
      </c>
      <c r="Y20" s="89">
        <v>45141.843321759254</v>
      </c>
      <c r="Z20" s="47">
        <v>59</v>
      </c>
      <c r="AA20" s="98">
        <v>1500</v>
      </c>
      <c r="AB20" s="99">
        <v>45197</v>
      </c>
      <c r="AC20" s="47">
        <v>67</v>
      </c>
      <c r="AD20" s="106">
        <v>200</v>
      </c>
      <c r="AE20" s="115">
        <v>45205</v>
      </c>
      <c r="AF20" s="116">
        <v>18</v>
      </c>
      <c r="AG20" s="93">
        <v>4950</v>
      </c>
      <c r="AH20" s="107" t="s">
        <v>267</v>
      </c>
      <c r="AI20" s="116">
        <v>32</v>
      </c>
      <c r="AJ20" s="93">
        <v>3050</v>
      </c>
      <c r="AK20" s="93" t="s">
        <v>296</v>
      </c>
      <c r="AL20" s="93"/>
      <c r="AM20" s="93"/>
    </row>
    <row r="21" spans="1:39" x14ac:dyDescent="0.3">
      <c r="A21" s="47">
        <v>54</v>
      </c>
      <c r="B21" s="42">
        <v>500</v>
      </c>
      <c r="C21" s="50">
        <v>44953.64747685194</v>
      </c>
      <c r="D21" s="48">
        <v>43</v>
      </c>
      <c r="E21" s="42">
        <v>4000</v>
      </c>
      <c r="F21" s="38">
        <v>44958.787662037183</v>
      </c>
      <c r="H21" s="56">
        <v>89</v>
      </c>
      <c r="I21" s="55">
        <v>10000</v>
      </c>
      <c r="J21" s="57">
        <v>45012.217233796138</v>
      </c>
      <c r="K21" s="56">
        <v>81</v>
      </c>
      <c r="L21" s="55">
        <v>4250</v>
      </c>
      <c r="M21" s="57" t="s">
        <v>189</v>
      </c>
      <c r="N21" s="56">
        <v>100</v>
      </c>
      <c r="O21" s="55">
        <v>16600</v>
      </c>
      <c r="P21" s="57" t="s">
        <v>221</v>
      </c>
      <c r="Q21" s="56">
        <v>105</v>
      </c>
      <c r="R21">
        <v>8700</v>
      </c>
      <c r="S21" s="88">
        <v>45078.800671296194</v>
      </c>
      <c r="T21" s="47">
        <v>62</v>
      </c>
      <c r="U21" s="42">
        <v>20000</v>
      </c>
      <c r="V21" s="89">
        <v>45121.946666666772</v>
      </c>
      <c r="W21" s="47">
        <v>57</v>
      </c>
      <c r="X21" s="42">
        <v>3000</v>
      </c>
      <c r="Y21" s="89">
        <v>45148.584513888694</v>
      </c>
      <c r="Z21" s="47">
        <v>68</v>
      </c>
      <c r="AA21" s="98">
        <v>200</v>
      </c>
      <c r="AB21" s="100">
        <v>45186.5989699075</v>
      </c>
      <c r="AC21" s="47">
        <v>67</v>
      </c>
      <c r="AD21" s="106">
        <v>6000</v>
      </c>
      <c r="AE21" s="115">
        <v>45205</v>
      </c>
      <c r="AF21" s="116">
        <v>18</v>
      </c>
      <c r="AG21" s="93">
        <v>6000</v>
      </c>
      <c r="AH21" s="107" t="s">
        <v>267</v>
      </c>
      <c r="AI21" s="116">
        <v>33</v>
      </c>
      <c r="AJ21" s="93">
        <v>6000</v>
      </c>
      <c r="AK21" s="93" t="s">
        <v>297</v>
      </c>
      <c r="AL21" s="93"/>
      <c r="AM21" s="93"/>
    </row>
    <row r="22" spans="1:39" x14ac:dyDescent="0.3">
      <c r="A22" s="47">
        <v>54</v>
      </c>
      <c r="B22" s="42">
        <v>8400</v>
      </c>
      <c r="C22" s="51">
        <v>44953.666585647967</v>
      </c>
      <c r="D22" s="48">
        <v>55</v>
      </c>
      <c r="E22" s="42">
        <v>500</v>
      </c>
      <c r="F22" s="38">
        <v>44970.948148148134</v>
      </c>
      <c r="H22" s="56" t="s">
        <v>183</v>
      </c>
      <c r="I22" s="55">
        <v>1500</v>
      </c>
      <c r="J22" s="57">
        <v>45003.13457175903</v>
      </c>
      <c r="K22" s="56">
        <v>87</v>
      </c>
      <c r="L22" s="55">
        <v>4250</v>
      </c>
      <c r="M22" s="57" t="s">
        <v>197</v>
      </c>
      <c r="N22" s="56">
        <v>112</v>
      </c>
      <c r="O22" s="55">
        <v>2000</v>
      </c>
      <c r="P22" s="57" t="s">
        <v>222</v>
      </c>
      <c r="Q22" s="56">
        <v>118</v>
      </c>
      <c r="R22">
        <v>23037.97</v>
      </c>
      <c r="S22" s="88">
        <v>45078.522418981418</v>
      </c>
      <c r="T22" s="47">
        <v>67</v>
      </c>
      <c r="U22" s="42">
        <v>8500</v>
      </c>
      <c r="V22" s="89">
        <v>45126.53254629625</v>
      </c>
      <c r="W22" s="47">
        <v>71</v>
      </c>
      <c r="X22" s="42">
        <v>2100</v>
      </c>
      <c r="Y22" s="89">
        <v>45157.796504629776</v>
      </c>
      <c r="Z22" s="47">
        <v>68</v>
      </c>
      <c r="AA22" s="98">
        <v>6000</v>
      </c>
      <c r="AB22" s="99">
        <v>45196</v>
      </c>
      <c r="AC22" s="47">
        <v>69</v>
      </c>
      <c r="AD22" s="106">
        <v>6000</v>
      </c>
      <c r="AE22" s="115">
        <v>45222</v>
      </c>
      <c r="AF22" s="116">
        <v>19</v>
      </c>
      <c r="AG22" s="93">
        <v>3100</v>
      </c>
      <c r="AH22" s="107" t="s">
        <v>268</v>
      </c>
      <c r="AI22" s="116">
        <v>36</v>
      </c>
      <c r="AJ22" s="93">
        <v>2000</v>
      </c>
      <c r="AK22" s="93" t="s">
        <v>298</v>
      </c>
      <c r="AL22" s="93"/>
      <c r="AM22" s="93"/>
    </row>
    <row r="23" spans="1:39" x14ac:dyDescent="0.3">
      <c r="A23" s="47">
        <v>68</v>
      </c>
      <c r="B23" s="42">
        <v>9000</v>
      </c>
      <c r="C23" s="50">
        <v>44949.654756944627</v>
      </c>
      <c r="D23" s="48">
        <v>57</v>
      </c>
      <c r="E23" s="42">
        <v>1000</v>
      </c>
      <c r="F23" s="38">
        <v>44972.650648148265</v>
      </c>
      <c r="H23" s="56" t="s">
        <v>183</v>
      </c>
      <c r="I23" s="55">
        <v>6225</v>
      </c>
      <c r="J23" s="57">
        <v>45003.113692129496</v>
      </c>
      <c r="K23" s="56">
        <v>97</v>
      </c>
      <c r="L23" s="55">
        <v>4250</v>
      </c>
      <c r="M23" s="57" t="s">
        <v>198</v>
      </c>
      <c r="N23" s="56">
        <v>114</v>
      </c>
      <c r="O23" s="55">
        <v>4200</v>
      </c>
      <c r="P23" s="57" t="s">
        <v>221</v>
      </c>
      <c r="Q23" s="56">
        <v>164</v>
      </c>
      <c r="R23">
        <v>14500</v>
      </c>
      <c r="S23" s="88">
        <v>45091.451967592817</v>
      </c>
      <c r="T23" s="47" t="s">
        <v>237</v>
      </c>
      <c r="U23" s="42">
        <v>17000</v>
      </c>
      <c r="V23" s="89">
        <v>45118.695023148321</v>
      </c>
      <c r="W23" s="47">
        <v>80</v>
      </c>
      <c r="X23" s="42">
        <v>1000</v>
      </c>
      <c r="Y23" s="89">
        <v>45140.703379629645</v>
      </c>
      <c r="Z23" s="47">
        <v>72</v>
      </c>
      <c r="AA23" s="98">
        <v>2683</v>
      </c>
      <c r="AB23" s="99">
        <v>45196</v>
      </c>
      <c r="AC23" s="47">
        <v>70</v>
      </c>
      <c r="AD23" s="106">
        <v>6000</v>
      </c>
      <c r="AE23" s="115">
        <v>45222</v>
      </c>
      <c r="AF23" s="116">
        <v>20</v>
      </c>
      <c r="AG23" s="93">
        <v>4200</v>
      </c>
      <c r="AH23" s="107">
        <v>45243</v>
      </c>
      <c r="AI23" s="116">
        <v>36</v>
      </c>
      <c r="AJ23" s="93">
        <v>6000</v>
      </c>
      <c r="AK23" s="93" t="s">
        <v>298</v>
      </c>
      <c r="AL23" s="93"/>
      <c r="AM23" s="93"/>
    </row>
    <row r="24" spans="1:39" x14ac:dyDescent="0.3">
      <c r="A24" s="47">
        <v>68</v>
      </c>
      <c r="B24" s="42">
        <v>9600</v>
      </c>
      <c r="C24" s="50">
        <v>44950.417465277947</v>
      </c>
      <c r="D24" s="48">
        <v>57</v>
      </c>
      <c r="E24" s="42">
        <v>1000</v>
      </c>
      <c r="F24" s="38">
        <v>44984.703946759459</v>
      </c>
      <c r="H24" s="56">
        <v>112</v>
      </c>
      <c r="I24" s="55">
        <v>2300</v>
      </c>
      <c r="J24" s="57">
        <v>44988.804664351977</v>
      </c>
      <c r="K24" s="56">
        <v>120</v>
      </c>
      <c r="L24" s="55">
        <v>6200</v>
      </c>
      <c r="M24" s="57" t="s">
        <v>199</v>
      </c>
      <c r="N24" s="56">
        <v>117</v>
      </c>
      <c r="O24" s="55">
        <v>1000</v>
      </c>
      <c r="P24" s="57" t="s">
        <v>211</v>
      </c>
      <c r="Q24" s="87" t="s">
        <v>173</v>
      </c>
      <c r="R24" s="83">
        <f>SUM(R4:R23)</f>
        <v>101112.97</v>
      </c>
      <c r="T24" s="47">
        <v>72</v>
      </c>
      <c r="U24" s="42">
        <v>8500</v>
      </c>
      <c r="V24" s="89">
        <v>45128.575115740765</v>
      </c>
      <c r="W24" s="47">
        <v>80</v>
      </c>
      <c r="X24" s="42">
        <v>3500</v>
      </c>
      <c r="Y24" s="89">
        <v>45140.690578703769</v>
      </c>
      <c r="Z24" s="47">
        <v>73</v>
      </c>
      <c r="AA24" s="98">
        <v>1000</v>
      </c>
      <c r="AB24" s="99">
        <v>45197</v>
      </c>
      <c r="AC24" s="47">
        <v>77</v>
      </c>
      <c r="AD24" s="106">
        <v>500</v>
      </c>
      <c r="AE24" s="115">
        <v>45225</v>
      </c>
      <c r="AF24" s="116">
        <v>25</v>
      </c>
      <c r="AG24" s="93">
        <v>6000</v>
      </c>
      <c r="AH24" s="107" t="s">
        <v>263</v>
      </c>
      <c r="AI24" s="116">
        <v>42</v>
      </c>
      <c r="AJ24" s="93">
        <v>5200</v>
      </c>
      <c r="AK24" s="93" t="s">
        <v>299</v>
      </c>
      <c r="AL24" s="93"/>
      <c r="AM24" s="93"/>
    </row>
    <row r="25" spans="1:39" x14ac:dyDescent="0.3">
      <c r="A25" s="47">
        <v>71</v>
      </c>
      <c r="B25" s="42">
        <v>2000</v>
      </c>
      <c r="C25" s="50">
        <v>44935.784120370168</v>
      </c>
      <c r="D25" s="48">
        <v>59</v>
      </c>
      <c r="E25" s="42">
        <v>3000</v>
      </c>
      <c r="F25" s="38">
        <v>44962.508194444235</v>
      </c>
      <c r="H25" s="56">
        <v>117</v>
      </c>
      <c r="I25" s="55">
        <v>1000</v>
      </c>
      <c r="J25" s="57" t="s">
        <v>184</v>
      </c>
      <c r="K25" s="56">
        <v>121</v>
      </c>
      <c r="L25" s="55">
        <v>4750</v>
      </c>
      <c r="M25" s="57" t="s">
        <v>197</v>
      </c>
      <c r="N25" s="56">
        <v>117</v>
      </c>
      <c r="O25" s="55">
        <v>1000</v>
      </c>
      <c r="P25" s="57" t="s">
        <v>223</v>
      </c>
      <c r="T25" s="47">
        <v>73</v>
      </c>
      <c r="U25" s="42">
        <v>4600</v>
      </c>
      <c r="V25" s="89">
        <v>45108.493796296418</v>
      </c>
      <c r="W25" s="47">
        <v>83</v>
      </c>
      <c r="X25" s="42">
        <v>8500</v>
      </c>
      <c r="Y25" s="89">
        <v>45163.537511574104</v>
      </c>
      <c r="Z25" s="47">
        <v>73</v>
      </c>
      <c r="AA25" s="98">
        <v>6000</v>
      </c>
      <c r="AB25" s="99">
        <v>45197</v>
      </c>
      <c r="AC25" s="47">
        <v>77</v>
      </c>
      <c r="AD25" s="106">
        <v>1000</v>
      </c>
      <c r="AE25" s="115">
        <v>45225</v>
      </c>
      <c r="AF25" s="116">
        <v>26</v>
      </c>
      <c r="AG25" s="93">
        <v>2900</v>
      </c>
      <c r="AH25" s="107" t="s">
        <v>263</v>
      </c>
      <c r="AI25" s="116">
        <v>43</v>
      </c>
      <c r="AJ25" s="93">
        <v>5200</v>
      </c>
      <c r="AK25" s="93" t="s">
        <v>299</v>
      </c>
      <c r="AL25" s="93"/>
      <c r="AM25" s="93"/>
    </row>
    <row r="26" spans="1:39" x14ac:dyDescent="0.3">
      <c r="A26" s="47">
        <v>74</v>
      </c>
      <c r="B26" s="42">
        <v>4000</v>
      </c>
      <c r="C26" s="50">
        <v>44951.718831018545</v>
      </c>
      <c r="D26" s="48">
        <v>62</v>
      </c>
      <c r="E26" s="42">
        <v>9800</v>
      </c>
      <c r="F26" s="38">
        <v>44972.55259259278</v>
      </c>
      <c r="H26" s="56">
        <v>130</v>
      </c>
      <c r="I26" s="55">
        <v>500</v>
      </c>
      <c r="J26" s="57" t="s">
        <v>185</v>
      </c>
      <c r="K26" s="56">
        <v>127</v>
      </c>
      <c r="L26" s="55">
        <v>13950</v>
      </c>
      <c r="M26" s="57" t="s">
        <v>200</v>
      </c>
      <c r="N26" s="56">
        <v>123</v>
      </c>
      <c r="O26" s="55">
        <v>3460</v>
      </c>
      <c r="P26" s="57" t="s">
        <v>211</v>
      </c>
      <c r="T26" s="47">
        <v>74</v>
      </c>
      <c r="U26" s="42">
        <v>4000</v>
      </c>
      <c r="V26" s="89">
        <v>45135.510601851624</v>
      </c>
      <c r="W26" s="47">
        <v>95</v>
      </c>
      <c r="X26" s="42">
        <v>2000</v>
      </c>
      <c r="Y26" s="89">
        <v>45162.534652777947</v>
      </c>
      <c r="Z26" s="47">
        <v>80</v>
      </c>
      <c r="AA26" s="98">
        <v>1000</v>
      </c>
      <c r="AB26" s="99">
        <v>45173.244918981567</v>
      </c>
      <c r="AC26" s="47">
        <v>77</v>
      </c>
      <c r="AD26" s="106">
        <v>6000</v>
      </c>
      <c r="AE26" s="115">
        <v>45225</v>
      </c>
      <c r="AF26" s="116">
        <v>27</v>
      </c>
      <c r="AG26" s="93">
        <v>6000</v>
      </c>
      <c r="AH26" s="107" t="s">
        <v>269</v>
      </c>
      <c r="AI26" s="116">
        <v>44</v>
      </c>
      <c r="AJ26" s="93">
        <v>2000</v>
      </c>
      <c r="AK26" s="93" t="s">
        <v>293</v>
      </c>
      <c r="AL26" s="93"/>
      <c r="AM26" s="93"/>
    </row>
    <row r="27" spans="1:39" x14ac:dyDescent="0.3">
      <c r="A27" s="47">
        <v>78</v>
      </c>
      <c r="B27" s="42">
        <v>1242</v>
      </c>
      <c r="C27" s="50">
        <v>44953.523599537089</v>
      </c>
      <c r="D27" s="48">
        <v>64</v>
      </c>
      <c r="E27" s="42">
        <v>500</v>
      </c>
      <c r="F27" s="38">
        <v>44963.481932870578</v>
      </c>
      <c r="H27" s="56">
        <v>130</v>
      </c>
      <c r="I27" s="55">
        <v>5700</v>
      </c>
      <c r="J27" s="57" t="s">
        <v>185</v>
      </c>
      <c r="K27" s="56">
        <v>135</v>
      </c>
      <c r="L27" s="55">
        <v>4152</v>
      </c>
      <c r="M27" s="57" t="s">
        <v>201</v>
      </c>
      <c r="N27" s="56">
        <v>124</v>
      </c>
      <c r="O27" s="55">
        <v>3660</v>
      </c>
      <c r="P27" s="57" t="s">
        <v>222</v>
      </c>
      <c r="T27" s="47">
        <v>80</v>
      </c>
      <c r="U27" s="42">
        <v>1000</v>
      </c>
      <c r="V27" s="89">
        <v>45111.403182870243</v>
      </c>
      <c r="W27" s="47">
        <v>96</v>
      </c>
      <c r="X27" s="42">
        <v>2000</v>
      </c>
      <c r="Y27" s="89">
        <v>45162.533437499776</v>
      </c>
      <c r="Z27" s="47">
        <v>81</v>
      </c>
      <c r="AA27" s="98">
        <v>4250</v>
      </c>
      <c r="AB27" s="99">
        <v>45175.499259259086</v>
      </c>
      <c r="AC27" s="47">
        <v>78</v>
      </c>
      <c r="AD27" s="106">
        <v>1000</v>
      </c>
      <c r="AE27" s="115" t="s">
        <v>260</v>
      </c>
      <c r="AF27" s="116">
        <v>28</v>
      </c>
      <c r="AG27" s="93">
        <v>500</v>
      </c>
      <c r="AH27" s="107">
        <v>45243</v>
      </c>
      <c r="AI27" s="116">
        <v>45</v>
      </c>
      <c r="AJ27" s="93">
        <v>15100</v>
      </c>
      <c r="AK27" s="93" t="s">
        <v>287</v>
      </c>
      <c r="AL27" s="93"/>
      <c r="AM27" s="93"/>
    </row>
    <row r="28" spans="1:39" x14ac:dyDescent="0.3">
      <c r="A28" s="47">
        <v>79</v>
      </c>
      <c r="B28" s="42">
        <v>2623</v>
      </c>
      <c r="C28" s="50">
        <v>44956.086539351847</v>
      </c>
      <c r="D28" s="48">
        <v>64</v>
      </c>
      <c r="E28" s="42">
        <v>5000</v>
      </c>
      <c r="F28" s="38">
        <v>44963.48224537028</v>
      </c>
      <c r="H28" s="87" t="s">
        <v>173</v>
      </c>
      <c r="I28" s="43">
        <f>SUM(I4:I27)</f>
        <v>74741</v>
      </c>
      <c r="K28" s="56">
        <v>142</v>
      </c>
      <c r="L28" s="55">
        <v>2125</v>
      </c>
      <c r="M28" s="57" t="s">
        <v>202</v>
      </c>
      <c r="N28" s="56">
        <v>125</v>
      </c>
      <c r="O28" s="55">
        <v>3660</v>
      </c>
      <c r="P28" s="57" t="s">
        <v>222</v>
      </c>
      <c r="T28" s="47">
        <v>84</v>
      </c>
      <c r="U28" s="42">
        <v>8500</v>
      </c>
      <c r="V28" s="89">
        <v>45130.668148148339</v>
      </c>
      <c r="W28" s="47">
        <v>97</v>
      </c>
      <c r="X28" s="42">
        <v>1000</v>
      </c>
      <c r="Y28" s="89">
        <v>45158.308842592407</v>
      </c>
      <c r="Z28" s="47">
        <v>86</v>
      </c>
      <c r="AA28" s="98">
        <v>8500</v>
      </c>
      <c r="AB28" s="99">
        <v>45195</v>
      </c>
      <c r="AC28" s="47">
        <v>78</v>
      </c>
      <c r="AD28" s="106">
        <v>2000</v>
      </c>
      <c r="AE28" s="115" t="s">
        <v>260</v>
      </c>
      <c r="AF28" s="116">
        <v>28</v>
      </c>
      <c r="AG28" s="93">
        <v>6000</v>
      </c>
      <c r="AH28" s="107">
        <v>45243</v>
      </c>
      <c r="AI28" s="116">
        <v>46</v>
      </c>
      <c r="AJ28" s="93">
        <v>6000</v>
      </c>
      <c r="AK28" s="93" t="s">
        <v>287</v>
      </c>
      <c r="AL28" s="93"/>
      <c r="AM28" s="93"/>
    </row>
    <row r="29" spans="1:39" x14ac:dyDescent="0.3">
      <c r="A29" s="47">
        <v>96</v>
      </c>
      <c r="B29" s="42">
        <v>5000</v>
      </c>
      <c r="C29" s="50">
        <v>44951.422303240746</v>
      </c>
      <c r="D29" s="48">
        <v>78</v>
      </c>
      <c r="E29" s="42">
        <v>3800</v>
      </c>
      <c r="F29" s="38">
        <v>44984.560115740635</v>
      </c>
      <c r="K29" s="56">
        <v>143</v>
      </c>
      <c r="L29" s="55">
        <v>2125</v>
      </c>
      <c r="M29" s="57" t="s">
        <v>202</v>
      </c>
      <c r="N29" s="56" t="s">
        <v>224</v>
      </c>
      <c r="O29" s="55">
        <v>1000</v>
      </c>
      <c r="P29" s="57" t="s">
        <v>222</v>
      </c>
      <c r="T29" s="47">
        <v>85</v>
      </c>
      <c r="U29" s="42">
        <v>8500</v>
      </c>
      <c r="V29" s="89">
        <v>45130.66728009237</v>
      </c>
      <c r="W29" s="47">
        <v>101</v>
      </c>
      <c r="X29" s="42">
        <v>3000</v>
      </c>
      <c r="Y29" s="89">
        <v>45140.946168981493</v>
      </c>
      <c r="Z29" s="47">
        <v>89</v>
      </c>
      <c r="AA29" s="98">
        <v>9000</v>
      </c>
      <c r="AB29" s="99">
        <v>45187.192754629534</v>
      </c>
      <c r="AC29" s="47">
        <v>80</v>
      </c>
      <c r="AD29" s="106">
        <v>1000</v>
      </c>
      <c r="AE29" s="115">
        <v>45201</v>
      </c>
      <c r="AF29" s="116">
        <v>32</v>
      </c>
      <c r="AG29" s="93">
        <v>3000</v>
      </c>
      <c r="AH29" s="107" t="s">
        <v>265</v>
      </c>
      <c r="AI29" s="116">
        <v>47</v>
      </c>
      <c r="AJ29" s="93">
        <v>6000</v>
      </c>
      <c r="AK29" s="93" t="s">
        <v>300</v>
      </c>
      <c r="AL29" s="93"/>
      <c r="AM29" s="93"/>
    </row>
    <row r="30" spans="1:39" x14ac:dyDescent="0.3">
      <c r="A30" s="47">
        <v>101</v>
      </c>
      <c r="B30" s="42">
        <v>500</v>
      </c>
      <c r="C30" s="50">
        <v>44934.578240740579</v>
      </c>
      <c r="D30" s="48">
        <v>80</v>
      </c>
      <c r="E30" s="42">
        <v>1370</v>
      </c>
      <c r="F30" s="38">
        <v>44960.379120370373</v>
      </c>
      <c r="K30" s="56">
        <v>144</v>
      </c>
      <c r="L30" s="55">
        <v>2125</v>
      </c>
      <c r="M30" s="57" t="s">
        <v>202</v>
      </c>
      <c r="N30" s="56">
        <v>130</v>
      </c>
      <c r="O30" s="55">
        <v>2800</v>
      </c>
      <c r="P30" s="57" t="s">
        <v>225</v>
      </c>
      <c r="T30" s="47">
        <v>88</v>
      </c>
      <c r="U30" s="42">
        <v>2840</v>
      </c>
      <c r="V30" s="89">
        <v>45115.870034722146</v>
      </c>
      <c r="W30" s="47">
        <v>102</v>
      </c>
      <c r="X30" s="42">
        <v>1800</v>
      </c>
      <c r="Y30" s="89">
        <v>45140.953113425989</v>
      </c>
      <c r="Z30" s="47" t="s">
        <v>249</v>
      </c>
      <c r="AA30" s="98">
        <v>17910</v>
      </c>
      <c r="AB30" s="99">
        <v>45195</v>
      </c>
      <c r="AC30" s="47">
        <v>80</v>
      </c>
      <c r="AD30" s="106">
        <v>6000</v>
      </c>
      <c r="AE30" s="115">
        <v>45201</v>
      </c>
      <c r="AF30" s="116">
        <v>34</v>
      </c>
      <c r="AG30" s="93">
        <v>6000</v>
      </c>
      <c r="AH30" s="107" t="s">
        <v>267</v>
      </c>
      <c r="AI30" s="116">
        <v>49</v>
      </c>
      <c r="AJ30" s="93">
        <v>4500</v>
      </c>
      <c r="AK30" s="93" t="s">
        <v>301</v>
      </c>
      <c r="AL30" s="93"/>
      <c r="AM30" s="93"/>
    </row>
    <row r="31" spans="1:39" x14ac:dyDescent="0.3">
      <c r="A31" s="47">
        <v>101</v>
      </c>
      <c r="B31" s="42">
        <v>3500</v>
      </c>
      <c r="C31" s="50">
        <v>44934.554629629478</v>
      </c>
      <c r="D31" s="48">
        <v>88</v>
      </c>
      <c r="E31" s="42">
        <v>5717</v>
      </c>
      <c r="F31" s="38">
        <v>44985.771076388657</v>
      </c>
      <c r="K31" s="56">
        <v>145</v>
      </c>
      <c r="L31" s="55">
        <v>2125</v>
      </c>
      <c r="M31" s="57" t="s">
        <v>202</v>
      </c>
      <c r="N31" s="56">
        <v>134</v>
      </c>
      <c r="O31" s="55">
        <v>3460</v>
      </c>
      <c r="P31" s="57" t="s">
        <v>211</v>
      </c>
      <c r="T31" s="47">
        <v>106</v>
      </c>
      <c r="U31" s="42">
        <v>6700</v>
      </c>
      <c r="V31" s="89">
        <v>45115.768865740858</v>
      </c>
      <c r="W31" s="47">
        <v>102</v>
      </c>
      <c r="X31" s="42">
        <v>2000</v>
      </c>
      <c r="Y31" s="89">
        <v>45140.947986111045</v>
      </c>
      <c r="Z31" s="47">
        <v>102</v>
      </c>
      <c r="AA31" s="98">
        <v>1800</v>
      </c>
      <c r="AB31" s="99">
        <v>45186.516990740784</v>
      </c>
      <c r="AC31" s="47">
        <v>90</v>
      </c>
      <c r="AD31" s="106">
        <v>4000</v>
      </c>
      <c r="AE31" s="115">
        <v>45208</v>
      </c>
      <c r="AF31" s="116">
        <v>38</v>
      </c>
      <c r="AG31" s="93">
        <v>5000</v>
      </c>
      <c r="AH31" s="107" t="s">
        <v>270</v>
      </c>
      <c r="AI31" s="116">
        <v>55</v>
      </c>
      <c r="AJ31" s="93">
        <v>4600</v>
      </c>
      <c r="AK31" s="93" t="s">
        <v>302</v>
      </c>
      <c r="AL31" s="93"/>
      <c r="AM31" s="93"/>
    </row>
    <row r="32" spans="1:39" x14ac:dyDescent="0.3">
      <c r="A32" s="47">
        <v>112</v>
      </c>
      <c r="B32" s="42">
        <v>4000</v>
      </c>
      <c r="C32" s="50">
        <v>44949.638807870448</v>
      </c>
      <c r="D32" s="48">
        <v>98</v>
      </c>
      <c r="E32" s="42">
        <v>6170</v>
      </c>
      <c r="F32" s="38">
        <v>44972.647546296474</v>
      </c>
      <c r="K32" s="56">
        <v>148</v>
      </c>
      <c r="L32" s="55">
        <v>500</v>
      </c>
      <c r="M32" s="57" t="s">
        <v>203</v>
      </c>
      <c r="N32" s="56" t="s">
        <v>226</v>
      </c>
      <c r="O32" s="55">
        <v>12000</v>
      </c>
      <c r="P32" s="57" t="s">
        <v>221</v>
      </c>
      <c r="T32" s="47">
        <v>106</v>
      </c>
      <c r="U32" s="42">
        <v>3500</v>
      </c>
      <c r="V32" s="89">
        <v>45130.954525462817</v>
      </c>
      <c r="W32" s="47">
        <v>117</v>
      </c>
      <c r="X32" s="42">
        <v>1000</v>
      </c>
      <c r="Y32" s="89">
        <v>45145.239120370243</v>
      </c>
      <c r="Z32" s="47">
        <v>106</v>
      </c>
      <c r="AA32" s="98">
        <v>6000</v>
      </c>
      <c r="AB32" s="99">
        <v>45194</v>
      </c>
      <c r="AC32" s="47">
        <v>94</v>
      </c>
      <c r="AD32" s="106">
        <v>19700</v>
      </c>
      <c r="AE32" s="115">
        <v>45225</v>
      </c>
      <c r="AF32" s="116">
        <v>41</v>
      </c>
      <c r="AG32" s="93">
        <v>6000</v>
      </c>
      <c r="AH32" s="107">
        <v>45605</v>
      </c>
      <c r="AI32" s="116">
        <v>57</v>
      </c>
      <c r="AJ32" s="93">
        <v>2000</v>
      </c>
      <c r="AK32" s="93" t="s">
        <v>291</v>
      </c>
      <c r="AL32" s="93"/>
      <c r="AM32" s="93"/>
    </row>
    <row r="33" spans="1:39" x14ac:dyDescent="0.3">
      <c r="A33" s="47">
        <v>128</v>
      </c>
      <c r="B33" s="42">
        <v>500</v>
      </c>
      <c r="C33" s="50">
        <v>44931.94238425931</v>
      </c>
      <c r="D33" s="48">
        <v>99</v>
      </c>
      <c r="E33" s="42">
        <v>6170</v>
      </c>
      <c r="F33" s="38">
        <v>44972.647546296474</v>
      </c>
      <c r="K33" s="56">
        <v>148</v>
      </c>
      <c r="L33" s="55">
        <v>4250</v>
      </c>
      <c r="M33" s="57" t="s">
        <v>203</v>
      </c>
      <c r="N33" s="56">
        <v>140</v>
      </c>
      <c r="O33" s="55">
        <v>2500</v>
      </c>
      <c r="P33" s="57" t="s">
        <v>227</v>
      </c>
      <c r="T33" s="47">
        <v>110</v>
      </c>
      <c r="U33" s="42">
        <v>8500</v>
      </c>
      <c r="V33" s="89">
        <v>45125.867361111101</v>
      </c>
      <c r="W33" s="47">
        <v>117</v>
      </c>
      <c r="X33" s="42">
        <v>1000</v>
      </c>
      <c r="Y33" s="89">
        <v>45166.752442129422</v>
      </c>
      <c r="Z33" s="47">
        <v>111</v>
      </c>
      <c r="AA33" s="98">
        <v>9200</v>
      </c>
      <c r="AB33" s="99">
        <v>45199</v>
      </c>
      <c r="AC33" s="47">
        <v>103</v>
      </c>
      <c r="AD33" s="106">
        <v>500</v>
      </c>
      <c r="AE33" s="115">
        <v>45224</v>
      </c>
      <c r="AF33" s="116">
        <v>42</v>
      </c>
      <c r="AG33" s="93">
        <v>6000</v>
      </c>
      <c r="AH33" s="107" t="s">
        <v>268</v>
      </c>
      <c r="AI33" s="116">
        <v>58</v>
      </c>
      <c r="AJ33" s="93">
        <v>5400</v>
      </c>
      <c r="AK33" s="93" t="s">
        <v>292</v>
      </c>
      <c r="AL33" s="93"/>
      <c r="AM33" s="93"/>
    </row>
    <row r="34" spans="1:39" x14ac:dyDescent="0.3">
      <c r="A34" s="47">
        <v>128</v>
      </c>
      <c r="B34" s="42">
        <v>5100</v>
      </c>
      <c r="C34" s="50">
        <v>44931.928611110896</v>
      </c>
      <c r="D34" s="48">
        <v>128</v>
      </c>
      <c r="E34" s="42">
        <v>4000</v>
      </c>
      <c r="F34" s="38">
        <v>44981.493472222239</v>
      </c>
      <c r="K34" s="56">
        <v>151</v>
      </c>
      <c r="L34" s="55">
        <v>5000</v>
      </c>
      <c r="M34" s="57" t="s">
        <v>192</v>
      </c>
      <c r="N34" s="56">
        <v>146</v>
      </c>
      <c r="O34" s="55">
        <v>3540</v>
      </c>
      <c r="P34" s="57" t="s">
        <v>228</v>
      </c>
      <c r="T34" s="47">
        <v>112</v>
      </c>
      <c r="U34" s="42">
        <v>2000</v>
      </c>
      <c r="V34" s="89">
        <v>45125.783576388843</v>
      </c>
      <c r="W34" s="47">
        <v>127</v>
      </c>
      <c r="X34" s="42">
        <v>750</v>
      </c>
      <c r="Y34" s="89">
        <v>45143.954745370429</v>
      </c>
      <c r="Z34" s="47">
        <v>112</v>
      </c>
      <c r="AA34" s="98">
        <v>500</v>
      </c>
      <c r="AB34" s="99">
        <v>45197</v>
      </c>
      <c r="AC34" s="47">
        <v>103</v>
      </c>
      <c r="AD34" s="106">
        <v>2834</v>
      </c>
      <c r="AE34" s="115">
        <v>45224</v>
      </c>
      <c r="AF34" s="116">
        <v>43</v>
      </c>
      <c r="AG34" s="93">
        <v>6000</v>
      </c>
      <c r="AH34" s="107" t="s">
        <v>268</v>
      </c>
      <c r="AI34" s="116">
        <v>59</v>
      </c>
      <c r="AJ34" s="93">
        <v>1500</v>
      </c>
      <c r="AK34" s="93" t="s">
        <v>288</v>
      </c>
      <c r="AL34" s="93"/>
      <c r="AM34" s="93"/>
    </row>
    <row r="35" spans="1:39" x14ac:dyDescent="0.3">
      <c r="A35" s="47">
        <v>129</v>
      </c>
      <c r="B35" s="42">
        <v>500</v>
      </c>
      <c r="C35" s="50">
        <v>44931.941932870541</v>
      </c>
      <c r="D35" s="48">
        <v>129</v>
      </c>
      <c r="E35" s="42">
        <v>4000</v>
      </c>
      <c r="F35" s="38">
        <v>44981.492824073881</v>
      </c>
      <c r="K35" s="56">
        <v>152</v>
      </c>
      <c r="L35" s="55">
        <v>500</v>
      </c>
      <c r="M35" s="57" t="s">
        <v>204</v>
      </c>
      <c r="N35" s="87" t="s">
        <v>173</v>
      </c>
      <c r="O35" s="43">
        <f>SUM(O3:O34)</f>
        <v>135805</v>
      </c>
      <c r="T35" s="47">
        <v>117</v>
      </c>
      <c r="U35" s="42">
        <v>1000</v>
      </c>
      <c r="V35" s="89">
        <v>45114.527893518563</v>
      </c>
      <c r="W35" s="47">
        <v>132</v>
      </c>
      <c r="X35" s="42">
        <v>3200</v>
      </c>
      <c r="Y35" s="89">
        <v>45140.265150462743</v>
      </c>
      <c r="Z35" s="47">
        <v>112</v>
      </c>
      <c r="AA35" s="98">
        <v>2000</v>
      </c>
      <c r="AB35" s="99">
        <v>45197</v>
      </c>
      <c r="AC35" s="47">
        <v>104</v>
      </c>
      <c r="AD35" s="106">
        <v>15200</v>
      </c>
      <c r="AE35" s="115">
        <v>45210</v>
      </c>
      <c r="AF35" s="116">
        <v>44</v>
      </c>
      <c r="AG35" s="93">
        <v>3000</v>
      </c>
      <c r="AH35" s="107">
        <v>45605</v>
      </c>
      <c r="AI35" s="116">
        <v>60</v>
      </c>
      <c r="AJ35" s="93">
        <v>3000</v>
      </c>
      <c r="AK35" s="93" t="s">
        <v>303</v>
      </c>
      <c r="AL35" s="93"/>
      <c r="AM35" s="93"/>
    </row>
    <row r="36" spans="1:39" x14ac:dyDescent="0.3">
      <c r="A36" s="47">
        <v>129</v>
      </c>
      <c r="B36" s="42">
        <v>5100</v>
      </c>
      <c r="C36" s="50">
        <v>44931.929421296343</v>
      </c>
      <c r="D36" s="48">
        <v>140</v>
      </c>
      <c r="E36" s="42">
        <v>2500</v>
      </c>
      <c r="F36" s="38">
        <v>44963.204664351884</v>
      </c>
      <c r="K36" s="87" t="s">
        <v>173</v>
      </c>
      <c r="L36" s="43">
        <f>SUM(L4:L35)</f>
        <v>107752</v>
      </c>
      <c r="T36" s="47">
        <v>127</v>
      </c>
      <c r="U36" s="42">
        <v>8500</v>
      </c>
      <c r="V36" s="89">
        <v>45124.808564814739</v>
      </c>
      <c r="W36" s="47">
        <v>135</v>
      </c>
      <c r="X36" s="42">
        <v>2395</v>
      </c>
      <c r="Y36" s="89">
        <v>45142.960879629478</v>
      </c>
      <c r="Z36" s="47">
        <v>123</v>
      </c>
      <c r="AA36" s="98">
        <v>4250</v>
      </c>
      <c r="AB36" s="99">
        <v>45175.437650463078</v>
      </c>
      <c r="AC36" s="47">
        <v>106</v>
      </c>
      <c r="AD36" s="106">
        <v>3000</v>
      </c>
      <c r="AE36" s="115">
        <v>45215</v>
      </c>
      <c r="AF36" s="116">
        <v>48</v>
      </c>
      <c r="AG36" s="93">
        <v>6000</v>
      </c>
      <c r="AH36" s="107">
        <v>45604</v>
      </c>
      <c r="AI36" s="116">
        <v>71</v>
      </c>
      <c r="AJ36" s="93">
        <v>500</v>
      </c>
      <c r="AK36" s="93" t="s">
        <v>293</v>
      </c>
      <c r="AL36" s="93"/>
      <c r="AM36" s="93"/>
    </row>
    <row r="37" spans="1:39" x14ac:dyDescent="0.3">
      <c r="A37" s="47">
        <v>131</v>
      </c>
      <c r="B37" s="42">
        <v>13560</v>
      </c>
      <c r="C37" s="50">
        <v>44953.581701389048</v>
      </c>
      <c r="D37" s="48">
        <v>153</v>
      </c>
      <c r="E37" s="42">
        <v>8900</v>
      </c>
      <c r="F37" s="38">
        <v>44958.981967592612</v>
      </c>
      <c r="T37" s="47">
        <v>128</v>
      </c>
      <c r="U37" s="42">
        <v>8500</v>
      </c>
      <c r="V37" s="89">
        <v>45137.205902777612</v>
      </c>
      <c r="W37" s="47">
        <v>148</v>
      </c>
      <c r="X37" s="42">
        <v>2125</v>
      </c>
      <c r="Y37" s="89">
        <v>45159.58300925931</v>
      </c>
      <c r="Z37" s="47">
        <v>133</v>
      </c>
      <c r="AA37" s="98">
        <v>12000</v>
      </c>
      <c r="AB37" s="99">
        <v>45194</v>
      </c>
      <c r="AC37" s="47">
        <v>108</v>
      </c>
      <c r="AD37" s="106">
        <v>9200</v>
      </c>
      <c r="AE37" s="115">
        <v>45212</v>
      </c>
      <c r="AF37" s="116">
        <v>53</v>
      </c>
      <c r="AG37" s="93">
        <v>700</v>
      </c>
      <c r="AH37" s="107">
        <v>45232</v>
      </c>
      <c r="AI37" s="116">
        <v>71</v>
      </c>
      <c r="AJ37" s="93">
        <v>2100</v>
      </c>
      <c r="AK37" s="93" t="s">
        <v>293</v>
      </c>
      <c r="AL37" s="93"/>
      <c r="AM37" s="93"/>
    </row>
    <row r="38" spans="1:39" x14ac:dyDescent="0.3">
      <c r="A38" s="47">
        <v>133</v>
      </c>
      <c r="B38" s="42">
        <v>5460</v>
      </c>
      <c r="C38" s="50">
        <v>44953.649988425896</v>
      </c>
      <c r="D38" s="48">
        <v>154</v>
      </c>
      <c r="E38" s="42">
        <v>15100</v>
      </c>
      <c r="F38" s="38">
        <v>44960.630694444291</v>
      </c>
      <c r="G38" s="52">
        <v>1400</v>
      </c>
      <c r="T38" s="47">
        <v>129</v>
      </c>
      <c r="U38" s="42">
        <v>8500</v>
      </c>
      <c r="V38" s="89">
        <v>45137.20901620388</v>
      </c>
      <c r="W38" s="47">
        <v>152</v>
      </c>
      <c r="X38" s="42">
        <v>1000</v>
      </c>
      <c r="Y38" s="89">
        <v>45169.644224537071</v>
      </c>
      <c r="Z38" s="47">
        <v>134</v>
      </c>
      <c r="AA38" s="98">
        <v>4250</v>
      </c>
      <c r="AB38" s="99">
        <v>45175.439236111008</v>
      </c>
      <c r="AC38" s="47">
        <v>114</v>
      </c>
      <c r="AD38" s="106">
        <v>6834</v>
      </c>
      <c r="AE38" s="115">
        <v>45208</v>
      </c>
      <c r="AF38" s="116">
        <v>53</v>
      </c>
      <c r="AG38" s="93">
        <v>6000</v>
      </c>
      <c r="AH38" s="107">
        <v>45603</v>
      </c>
      <c r="AI38" s="116">
        <v>74</v>
      </c>
      <c r="AJ38" s="93">
        <v>600</v>
      </c>
      <c r="AK38" s="93" t="s">
        <v>295</v>
      </c>
      <c r="AL38" s="93"/>
      <c r="AM38" s="93"/>
    </row>
    <row r="39" spans="1:39" x14ac:dyDescent="0.3">
      <c r="A39" s="47">
        <v>142</v>
      </c>
      <c r="B39" s="42">
        <v>4300</v>
      </c>
      <c r="C39" s="50">
        <v>44939.672569444403</v>
      </c>
      <c r="D39" s="48">
        <v>161</v>
      </c>
      <c r="E39" s="42">
        <v>1417</v>
      </c>
      <c r="F39" s="38">
        <v>44977.71665509278</v>
      </c>
      <c r="T39" s="47" t="s">
        <v>236</v>
      </c>
      <c r="U39" s="42">
        <v>12000</v>
      </c>
      <c r="V39" s="89">
        <v>45131.079074074049</v>
      </c>
      <c r="W39" s="47">
        <v>152</v>
      </c>
      <c r="X39" s="42">
        <v>8500</v>
      </c>
      <c r="Y39" s="89">
        <v>45169.644224537071</v>
      </c>
      <c r="Z39" s="47">
        <v>150</v>
      </c>
      <c r="AA39" s="98">
        <v>6000</v>
      </c>
      <c r="AB39" s="99">
        <v>45197</v>
      </c>
      <c r="AC39" s="47">
        <v>117</v>
      </c>
      <c r="AD39" s="106">
        <v>1000</v>
      </c>
      <c r="AE39" s="115">
        <v>45204</v>
      </c>
      <c r="AF39" s="116">
        <v>54</v>
      </c>
      <c r="AG39" s="93">
        <v>800</v>
      </c>
      <c r="AH39" s="107" t="s">
        <v>262</v>
      </c>
      <c r="AI39" s="116">
        <v>74</v>
      </c>
      <c r="AJ39" s="93">
        <v>6000</v>
      </c>
      <c r="AK39" s="93" t="s">
        <v>295</v>
      </c>
      <c r="AL39" s="93"/>
      <c r="AM39" s="93"/>
    </row>
    <row r="40" spans="1:39" x14ac:dyDescent="0.3">
      <c r="A40" s="47">
        <v>143</v>
      </c>
      <c r="B40" s="42">
        <v>4300</v>
      </c>
      <c r="C40" s="50">
        <v>44939.716516203713</v>
      </c>
      <c r="D40" s="48">
        <v>161</v>
      </c>
      <c r="E40" s="42">
        <v>4000</v>
      </c>
      <c r="F40" s="38">
        <v>44977.716863425914</v>
      </c>
      <c r="T40" s="47">
        <v>139</v>
      </c>
      <c r="U40" s="42">
        <v>8500</v>
      </c>
      <c r="V40" s="89">
        <v>45125.579340277705</v>
      </c>
      <c r="W40" s="90" t="s">
        <v>173</v>
      </c>
      <c r="X40" s="101">
        <f>SUM(X4:X39)</f>
        <v>102122</v>
      </c>
      <c r="Z40" s="90" t="s">
        <v>173</v>
      </c>
      <c r="AA40" s="101">
        <f>SUM(AA4:AA39)</f>
        <v>154110</v>
      </c>
      <c r="AB40" s="102"/>
      <c r="AC40" s="47">
        <v>120</v>
      </c>
      <c r="AD40" s="106">
        <v>2800</v>
      </c>
      <c r="AE40" s="115">
        <v>45223</v>
      </c>
      <c r="AF40" s="116">
        <v>54</v>
      </c>
      <c r="AG40" s="93">
        <v>6000</v>
      </c>
      <c r="AH40" s="107" t="s">
        <v>262</v>
      </c>
      <c r="AI40" s="116">
        <v>76</v>
      </c>
      <c r="AJ40" s="93">
        <v>6000</v>
      </c>
      <c r="AK40" s="93" t="s">
        <v>294</v>
      </c>
      <c r="AL40" s="93"/>
      <c r="AM40" s="93"/>
    </row>
    <row r="41" spans="1:39" x14ac:dyDescent="0.3">
      <c r="A41" s="47">
        <v>144</v>
      </c>
      <c r="B41" s="42">
        <v>4300</v>
      </c>
      <c r="C41" s="50">
        <v>44939.643935185391</v>
      </c>
      <c r="D41" s="63">
        <v>161</v>
      </c>
      <c r="E41" s="66">
        <v>4300</v>
      </c>
      <c r="F41" s="67">
        <v>44977.716168981511</v>
      </c>
      <c r="T41" s="47">
        <v>140</v>
      </c>
      <c r="U41" s="42">
        <v>2500</v>
      </c>
      <c r="V41" s="89">
        <v>45111.776932870504</v>
      </c>
      <c r="W41" s="94"/>
      <c r="AC41" s="47">
        <v>121</v>
      </c>
      <c r="AD41" s="106">
        <v>4000</v>
      </c>
      <c r="AE41" s="115">
        <v>45211</v>
      </c>
      <c r="AF41" s="116">
        <v>55</v>
      </c>
      <c r="AG41" s="93">
        <v>6000</v>
      </c>
      <c r="AH41" s="107" t="s">
        <v>262</v>
      </c>
      <c r="AI41" s="116">
        <v>76</v>
      </c>
      <c r="AJ41" s="93">
        <v>9200</v>
      </c>
      <c r="AK41" s="93" t="s">
        <v>294</v>
      </c>
      <c r="AL41" s="93"/>
      <c r="AM41" s="93"/>
    </row>
    <row r="42" spans="1:39" x14ac:dyDescent="0.3">
      <c r="A42" s="47">
        <v>145</v>
      </c>
      <c r="B42" s="42">
        <v>4300</v>
      </c>
      <c r="C42" s="62">
        <v>44939.647349536885</v>
      </c>
      <c r="D42" s="87" t="s">
        <v>173</v>
      </c>
      <c r="E42" s="43">
        <f>SUM(E4:E41)</f>
        <v>142081</v>
      </c>
      <c r="F42" s="68"/>
      <c r="G42" s="70">
        <f>SUM(G4:G41)</f>
        <v>1400</v>
      </c>
      <c r="T42" s="47">
        <v>142</v>
      </c>
      <c r="U42" s="42">
        <v>500</v>
      </c>
      <c r="V42" s="89">
        <v>45136.040486111306</v>
      </c>
      <c r="W42" s="95"/>
      <c r="AC42" s="47">
        <v>122</v>
      </c>
      <c r="AD42" s="106">
        <v>9200</v>
      </c>
      <c r="AE42" s="115">
        <v>45211</v>
      </c>
      <c r="AF42" s="116">
        <v>76</v>
      </c>
      <c r="AG42" s="93">
        <v>900</v>
      </c>
      <c r="AH42" s="107" t="s">
        <v>270</v>
      </c>
      <c r="AI42" s="116">
        <v>76</v>
      </c>
      <c r="AJ42" s="93">
        <v>500</v>
      </c>
      <c r="AK42" s="93" t="s">
        <v>296</v>
      </c>
      <c r="AL42" s="93"/>
      <c r="AM42" s="93"/>
    </row>
    <row r="43" spans="1:39" x14ac:dyDescent="0.3">
      <c r="A43" s="47">
        <v>146</v>
      </c>
      <c r="B43" s="42">
        <v>2560</v>
      </c>
      <c r="C43" s="69">
        <v>44953.621192129795</v>
      </c>
      <c r="D43" s="71"/>
      <c r="E43" s="64"/>
      <c r="F43" s="65"/>
      <c r="T43" s="47">
        <v>142</v>
      </c>
      <c r="U43" s="42">
        <v>2125</v>
      </c>
      <c r="V43" s="89">
        <v>45136.037337963004</v>
      </c>
      <c r="W43" s="95"/>
      <c r="AC43" s="47">
        <v>124</v>
      </c>
      <c r="AD43" s="106">
        <v>5540</v>
      </c>
      <c r="AE43" s="115">
        <v>45216</v>
      </c>
      <c r="AF43" s="116">
        <v>78</v>
      </c>
      <c r="AG43" s="93">
        <v>2000</v>
      </c>
      <c r="AH43" s="107" t="s">
        <v>265</v>
      </c>
      <c r="AI43" s="116">
        <v>77</v>
      </c>
      <c r="AJ43" s="93">
        <v>3650</v>
      </c>
      <c r="AK43" s="93" t="s">
        <v>290</v>
      </c>
      <c r="AL43" s="93"/>
      <c r="AM43" s="93"/>
    </row>
    <row r="44" spans="1:39" x14ac:dyDescent="0.3">
      <c r="A44" s="47">
        <v>154</v>
      </c>
      <c r="B44" s="42">
        <v>3000</v>
      </c>
      <c r="C44" s="69">
        <v>44938.999988425989</v>
      </c>
      <c r="D44" s="71"/>
      <c r="E44" s="64"/>
      <c r="F44" s="65"/>
      <c r="T44" s="47">
        <v>143</v>
      </c>
      <c r="U44" s="42">
        <v>500</v>
      </c>
      <c r="V44" s="89">
        <v>45136.040324074216</v>
      </c>
      <c r="W44" s="95"/>
      <c r="AC44" s="47">
        <v>125</v>
      </c>
      <c r="AD44" s="106">
        <v>5540</v>
      </c>
      <c r="AE44" s="115">
        <v>45216</v>
      </c>
      <c r="AF44" s="116">
        <v>80</v>
      </c>
      <c r="AG44" s="93">
        <v>2000</v>
      </c>
      <c r="AH44" s="107">
        <v>45232</v>
      </c>
      <c r="AI44" s="116">
        <v>80</v>
      </c>
      <c r="AJ44" s="93">
        <v>2000</v>
      </c>
      <c r="AK44" s="93" t="s">
        <v>304</v>
      </c>
      <c r="AL44" s="93"/>
      <c r="AM44" s="93"/>
    </row>
    <row r="45" spans="1:39" x14ac:dyDescent="0.3">
      <c r="A45" s="47">
        <v>161</v>
      </c>
      <c r="B45" s="42">
        <v>500</v>
      </c>
      <c r="C45" s="69">
        <v>44946.444907407276</v>
      </c>
      <c r="D45" s="71"/>
      <c r="E45" s="64"/>
      <c r="F45" s="65"/>
      <c r="T45" s="47">
        <v>143</v>
      </c>
      <c r="U45" s="42">
        <v>2125</v>
      </c>
      <c r="V45" s="89">
        <v>45136.036979166791</v>
      </c>
      <c r="W45" s="95"/>
      <c r="AC45" s="47">
        <v>126</v>
      </c>
      <c r="AD45" s="106">
        <v>8500</v>
      </c>
      <c r="AE45" s="115">
        <v>45214</v>
      </c>
      <c r="AF45" s="116">
        <v>81</v>
      </c>
      <c r="AG45" s="93">
        <v>6000</v>
      </c>
      <c r="AH45" s="107" t="s">
        <v>271</v>
      </c>
      <c r="AI45" s="116">
        <v>80</v>
      </c>
      <c r="AJ45" s="93">
        <v>1000</v>
      </c>
      <c r="AK45" s="93" t="s">
        <v>290</v>
      </c>
      <c r="AL45" s="93"/>
      <c r="AM45" s="93"/>
    </row>
    <row r="46" spans="1:39" x14ac:dyDescent="0.3">
      <c r="A46" s="87" t="s">
        <v>173</v>
      </c>
      <c r="B46" s="43">
        <f>SUM(B4:B45)</f>
        <v>162012</v>
      </c>
      <c r="T46" s="47">
        <v>144</v>
      </c>
      <c r="U46" s="42">
        <v>500</v>
      </c>
      <c r="V46" s="89">
        <v>45136.040543981362</v>
      </c>
      <c r="W46" s="95"/>
      <c r="AC46" s="47">
        <v>130</v>
      </c>
      <c r="AD46" s="106">
        <v>9200</v>
      </c>
      <c r="AE46" s="115">
        <v>45211</v>
      </c>
      <c r="AF46" s="116">
        <v>82</v>
      </c>
      <c r="AG46" s="93">
        <v>900</v>
      </c>
      <c r="AH46" s="107" t="s">
        <v>270</v>
      </c>
      <c r="AI46" s="116">
        <v>80</v>
      </c>
      <c r="AJ46" s="93">
        <v>2000</v>
      </c>
      <c r="AK46" s="93" t="s">
        <v>290</v>
      </c>
      <c r="AL46" s="93"/>
      <c r="AM46" s="93"/>
    </row>
    <row r="47" spans="1:39" x14ac:dyDescent="0.3">
      <c r="E47" s="44"/>
      <c r="T47" s="47">
        <v>144</v>
      </c>
      <c r="U47" s="42">
        <v>2125</v>
      </c>
      <c r="V47" s="89">
        <v>45136.037152777892</v>
      </c>
      <c r="W47" s="95"/>
      <c r="AC47" s="47">
        <v>139</v>
      </c>
      <c r="AD47" s="106">
        <v>6000</v>
      </c>
      <c r="AE47" s="115">
        <v>45204</v>
      </c>
      <c r="AF47" s="116">
        <v>82</v>
      </c>
      <c r="AG47" s="93">
        <v>6000</v>
      </c>
      <c r="AH47" s="107" t="s">
        <v>270</v>
      </c>
      <c r="AI47" s="116">
        <v>82</v>
      </c>
      <c r="AJ47" s="93">
        <v>9200</v>
      </c>
      <c r="AK47" s="93" t="s">
        <v>294</v>
      </c>
      <c r="AL47" s="93"/>
      <c r="AM47" s="93"/>
    </row>
    <row r="48" spans="1:39" x14ac:dyDescent="0.3">
      <c r="T48" s="47">
        <v>145</v>
      </c>
      <c r="U48" s="42">
        <v>500</v>
      </c>
      <c r="V48" s="89">
        <v>45136.040092592593</v>
      </c>
      <c r="W48" s="95"/>
      <c r="AC48" s="47">
        <v>140</v>
      </c>
      <c r="AD48" s="106">
        <v>2000</v>
      </c>
      <c r="AE48" s="115">
        <v>45201</v>
      </c>
      <c r="AF48" s="116">
        <v>86</v>
      </c>
      <c r="AG48" s="93">
        <v>5100</v>
      </c>
      <c r="AH48" s="107">
        <v>45240</v>
      </c>
      <c r="AI48" s="116">
        <v>82</v>
      </c>
      <c r="AJ48" s="93">
        <v>500</v>
      </c>
      <c r="AK48" s="93" t="s">
        <v>296</v>
      </c>
      <c r="AL48" s="93"/>
      <c r="AM48" s="93"/>
    </row>
    <row r="49" spans="20:39" x14ac:dyDescent="0.3">
      <c r="T49" s="47">
        <v>145</v>
      </c>
      <c r="U49" s="42">
        <v>2125</v>
      </c>
      <c r="V49" s="89">
        <v>45136.037407407537</v>
      </c>
      <c r="W49" s="95"/>
      <c r="AC49" s="47">
        <v>142</v>
      </c>
      <c r="AD49" s="106">
        <v>2125</v>
      </c>
      <c r="AE49" s="115">
        <v>45210</v>
      </c>
      <c r="AF49" s="116">
        <v>88</v>
      </c>
      <c r="AG49" s="93">
        <v>6000</v>
      </c>
      <c r="AH49" s="107" t="s">
        <v>269</v>
      </c>
      <c r="AI49" s="116">
        <v>83</v>
      </c>
      <c r="AJ49" s="93">
        <v>6000</v>
      </c>
      <c r="AK49" s="93" t="s">
        <v>305</v>
      </c>
      <c r="AL49" s="93"/>
      <c r="AM49" s="93"/>
    </row>
    <row r="50" spans="20:39" x14ac:dyDescent="0.3">
      <c r="T50" s="47">
        <v>147</v>
      </c>
      <c r="U50" s="42">
        <v>8500</v>
      </c>
      <c r="V50" s="89">
        <v>45122.466574074235</v>
      </c>
      <c r="W50" s="95"/>
      <c r="AC50" s="47">
        <v>143</v>
      </c>
      <c r="AD50" s="106">
        <v>2125</v>
      </c>
      <c r="AE50" s="115">
        <v>45210</v>
      </c>
      <c r="AF50" s="116">
        <v>89</v>
      </c>
      <c r="AG50" s="93">
        <v>4450</v>
      </c>
      <c r="AH50" s="107">
        <v>45605</v>
      </c>
      <c r="AI50" s="116">
        <v>84</v>
      </c>
      <c r="AJ50" s="93">
        <v>500</v>
      </c>
      <c r="AK50" s="93" t="s">
        <v>306</v>
      </c>
      <c r="AL50" s="93"/>
      <c r="AM50" s="93"/>
    </row>
    <row r="51" spans="20:39" x14ac:dyDescent="0.3">
      <c r="T51" s="47">
        <v>150</v>
      </c>
      <c r="U51" s="42">
        <v>8500</v>
      </c>
      <c r="V51" s="89">
        <v>45124.116134259384</v>
      </c>
      <c r="W51" s="95"/>
      <c r="AC51" s="47">
        <v>144</v>
      </c>
      <c r="AD51" s="106">
        <v>2125</v>
      </c>
      <c r="AE51" s="115">
        <v>45210</v>
      </c>
      <c r="AF51" s="116">
        <v>90</v>
      </c>
      <c r="AG51" s="93">
        <v>6000</v>
      </c>
      <c r="AH51" s="107">
        <v>45604</v>
      </c>
      <c r="AI51" s="116">
        <v>84</v>
      </c>
      <c r="AJ51" s="93">
        <v>700</v>
      </c>
      <c r="AK51" s="93" t="s">
        <v>306</v>
      </c>
      <c r="AL51" s="93"/>
      <c r="AM51" s="93"/>
    </row>
    <row r="52" spans="20:39" x14ac:dyDescent="0.3">
      <c r="T52" s="47">
        <v>153</v>
      </c>
      <c r="U52" s="42">
        <v>8500</v>
      </c>
      <c r="V52" s="89">
        <v>45130.945138888899</v>
      </c>
      <c r="W52" s="95"/>
      <c r="AC52" s="47">
        <v>145</v>
      </c>
      <c r="AD52" s="106">
        <v>2125</v>
      </c>
      <c r="AE52" s="115">
        <v>45210</v>
      </c>
      <c r="AF52" s="116" t="s">
        <v>278</v>
      </c>
      <c r="AG52" s="93">
        <v>7125</v>
      </c>
      <c r="AH52" s="107">
        <v>45604</v>
      </c>
      <c r="AI52" s="116">
        <v>84</v>
      </c>
      <c r="AJ52" s="93">
        <v>4000</v>
      </c>
      <c r="AK52" s="93" t="s">
        <v>306</v>
      </c>
      <c r="AL52" s="93"/>
      <c r="AM52" s="93"/>
    </row>
    <row r="53" spans="20:39" x14ac:dyDescent="0.3">
      <c r="T53" s="90" t="s">
        <v>173</v>
      </c>
      <c r="U53" s="91">
        <f>SUM(U4:U52)</f>
        <v>255911</v>
      </c>
      <c r="V53" s="92"/>
      <c r="W53" s="71"/>
      <c r="Z53" s="93"/>
      <c r="AC53" s="47">
        <v>147</v>
      </c>
      <c r="AD53" s="106">
        <v>6000</v>
      </c>
      <c r="AE53" s="115">
        <v>45202</v>
      </c>
      <c r="AF53" s="116">
        <v>95</v>
      </c>
      <c r="AG53" s="93">
        <v>6000</v>
      </c>
      <c r="AH53" s="107">
        <v>45624</v>
      </c>
      <c r="AI53" s="116">
        <v>84</v>
      </c>
      <c r="AJ53" s="93">
        <v>6000</v>
      </c>
      <c r="AK53" s="93" t="s">
        <v>306</v>
      </c>
      <c r="AL53" s="93"/>
      <c r="AM53" s="93"/>
    </row>
    <row r="54" spans="20:39" x14ac:dyDescent="0.3">
      <c r="W54" s="44"/>
      <c r="AC54" s="47">
        <v>148</v>
      </c>
      <c r="AD54" s="106">
        <v>1500</v>
      </c>
      <c r="AE54" s="115">
        <v>45203</v>
      </c>
      <c r="AF54" s="116">
        <v>97</v>
      </c>
      <c r="AG54" s="93">
        <v>6000</v>
      </c>
      <c r="AH54" s="107" t="s">
        <v>272</v>
      </c>
      <c r="AI54" s="116">
        <v>85</v>
      </c>
      <c r="AJ54" s="93">
        <v>500</v>
      </c>
      <c r="AK54" s="93" t="s">
        <v>306</v>
      </c>
      <c r="AL54" s="93"/>
      <c r="AM54" s="93"/>
    </row>
    <row r="55" spans="20:39" x14ac:dyDescent="0.3">
      <c r="AC55" s="47">
        <v>148</v>
      </c>
      <c r="AD55" s="106">
        <v>1418</v>
      </c>
      <c r="AE55" s="115">
        <v>45209</v>
      </c>
      <c r="AF55" s="117">
        <v>101</v>
      </c>
      <c r="AG55" s="68">
        <v>6200</v>
      </c>
      <c r="AH55" s="107" t="s">
        <v>273</v>
      </c>
      <c r="AI55" s="116">
        <v>85</v>
      </c>
      <c r="AJ55" s="93">
        <v>700</v>
      </c>
      <c r="AK55" s="93" t="s">
        <v>306</v>
      </c>
      <c r="AL55" s="93"/>
      <c r="AM55" s="93"/>
    </row>
    <row r="56" spans="20:39" x14ac:dyDescent="0.3">
      <c r="AC56" s="47">
        <v>149</v>
      </c>
      <c r="AD56" s="106">
        <v>4600</v>
      </c>
      <c r="AE56" s="115">
        <v>45229</v>
      </c>
      <c r="AF56" s="117">
        <v>102</v>
      </c>
      <c r="AG56" s="68">
        <v>3000</v>
      </c>
      <c r="AH56" s="107" t="s">
        <v>274</v>
      </c>
      <c r="AI56" s="116">
        <v>85</v>
      </c>
      <c r="AJ56" s="93">
        <v>4000</v>
      </c>
      <c r="AK56" s="93" t="s">
        <v>306</v>
      </c>
      <c r="AL56" s="93"/>
      <c r="AM56" s="93"/>
    </row>
    <row r="57" spans="20:39" x14ac:dyDescent="0.3">
      <c r="AC57" s="47">
        <v>155</v>
      </c>
      <c r="AD57" s="106">
        <v>9200</v>
      </c>
      <c r="AE57" s="115">
        <v>45216</v>
      </c>
      <c r="AF57" s="117" t="s">
        <v>276</v>
      </c>
      <c r="AG57" s="68">
        <v>2600</v>
      </c>
      <c r="AH57" s="107" t="s">
        <v>273</v>
      </c>
      <c r="AI57" s="116">
        <v>85</v>
      </c>
      <c r="AJ57" s="93">
        <v>6000</v>
      </c>
      <c r="AK57" s="93" t="s">
        <v>306</v>
      </c>
      <c r="AL57" s="93"/>
      <c r="AM57" s="93"/>
    </row>
    <row r="58" spans="20:39" x14ac:dyDescent="0.3">
      <c r="AC58" s="47">
        <v>160</v>
      </c>
      <c r="AD58" s="106">
        <v>9200</v>
      </c>
      <c r="AE58" s="115">
        <v>45219</v>
      </c>
      <c r="AF58" s="117">
        <v>103</v>
      </c>
      <c r="AG58" s="68">
        <v>1000</v>
      </c>
      <c r="AH58" s="107" t="s">
        <v>274</v>
      </c>
      <c r="AI58" s="116">
        <v>87</v>
      </c>
      <c r="AJ58" s="93">
        <v>4250</v>
      </c>
      <c r="AK58" s="93" t="s">
        <v>287</v>
      </c>
      <c r="AL58" s="93"/>
      <c r="AM58" s="93"/>
    </row>
    <row r="59" spans="20:39" x14ac:dyDescent="0.3">
      <c r="AC59" s="47">
        <v>161</v>
      </c>
      <c r="AD59" s="106">
        <v>1367</v>
      </c>
      <c r="AE59" s="115">
        <v>45204</v>
      </c>
      <c r="AF59" s="117">
        <v>103</v>
      </c>
      <c r="AG59" s="68">
        <v>6000</v>
      </c>
      <c r="AH59" s="107" t="s">
        <v>274</v>
      </c>
      <c r="AI59" s="116">
        <v>88</v>
      </c>
      <c r="AJ59" s="93">
        <v>9200</v>
      </c>
      <c r="AK59" s="93" t="s">
        <v>298</v>
      </c>
      <c r="AL59" s="93"/>
      <c r="AM59" s="93"/>
    </row>
    <row r="60" spans="20:39" x14ac:dyDescent="0.3">
      <c r="AC60" s="47">
        <v>163</v>
      </c>
      <c r="AD60" s="106">
        <v>4600</v>
      </c>
      <c r="AE60" s="115">
        <v>45210</v>
      </c>
      <c r="AF60" s="117">
        <v>108</v>
      </c>
      <c r="AG60" s="68">
        <v>6000</v>
      </c>
      <c r="AH60" s="107" t="s">
        <v>275</v>
      </c>
      <c r="AI60" s="116">
        <v>96</v>
      </c>
      <c r="AJ60" s="93">
        <v>6000</v>
      </c>
      <c r="AK60" s="93" t="s">
        <v>296</v>
      </c>
      <c r="AL60" s="93"/>
      <c r="AM60" s="93"/>
    </row>
    <row r="61" spans="20:39" x14ac:dyDescent="0.3">
      <c r="AC61" s="47">
        <v>164</v>
      </c>
      <c r="AD61" s="106">
        <v>500</v>
      </c>
      <c r="AE61" s="115">
        <v>45210</v>
      </c>
      <c r="AF61" s="117">
        <v>111</v>
      </c>
      <c r="AG61" s="68">
        <v>2500</v>
      </c>
      <c r="AH61" s="107">
        <v>45604</v>
      </c>
      <c r="AI61" s="116">
        <v>103</v>
      </c>
      <c r="AJ61" s="93">
        <v>5366</v>
      </c>
      <c r="AK61" s="93" t="s">
        <v>307</v>
      </c>
      <c r="AL61" s="93"/>
      <c r="AM61" s="93"/>
    </row>
    <row r="62" spans="20:39" x14ac:dyDescent="0.3">
      <c r="AC62" s="47">
        <v>164</v>
      </c>
      <c r="AD62" s="106">
        <v>4600</v>
      </c>
      <c r="AE62" s="115">
        <v>45210</v>
      </c>
      <c r="AF62" s="117">
        <v>112</v>
      </c>
      <c r="AG62" s="68">
        <v>2500</v>
      </c>
      <c r="AH62" s="107">
        <v>45243</v>
      </c>
      <c r="AI62" s="116">
        <v>108</v>
      </c>
      <c r="AJ62" s="93">
        <v>4500</v>
      </c>
      <c r="AK62" s="93" t="s">
        <v>295</v>
      </c>
      <c r="AL62" s="93"/>
      <c r="AM62" s="93"/>
    </row>
    <row r="63" spans="20:39" x14ac:dyDescent="0.3">
      <c r="AC63" s="90" t="s">
        <v>173</v>
      </c>
      <c r="AD63" s="105">
        <f>SUM(AD4:AD62)</f>
        <v>299011</v>
      </c>
      <c r="AE63" s="104"/>
      <c r="AF63" s="117">
        <v>114</v>
      </c>
      <c r="AG63" s="68">
        <v>10000</v>
      </c>
      <c r="AH63" s="107" t="s">
        <v>266</v>
      </c>
      <c r="AI63" s="116">
        <v>109</v>
      </c>
      <c r="AJ63" s="93">
        <v>6000</v>
      </c>
      <c r="AK63" s="93" t="s">
        <v>302</v>
      </c>
      <c r="AL63" s="93"/>
      <c r="AM63" s="93"/>
    </row>
    <row r="64" spans="20:39" x14ac:dyDescent="0.3">
      <c r="AF64" s="117">
        <v>117</v>
      </c>
      <c r="AG64" s="68">
        <v>1000</v>
      </c>
      <c r="AH64" s="107">
        <v>45232</v>
      </c>
      <c r="AI64" s="116">
        <v>109</v>
      </c>
      <c r="AJ64" s="93">
        <v>9200</v>
      </c>
      <c r="AK64" s="93" t="s">
        <v>302</v>
      </c>
      <c r="AL64" s="93"/>
      <c r="AM64" s="93"/>
    </row>
    <row r="65" spans="32:39" x14ac:dyDescent="0.3">
      <c r="AF65" s="117">
        <v>118</v>
      </c>
      <c r="AG65" s="68">
        <v>2834</v>
      </c>
      <c r="AH65" s="107">
        <v>45232</v>
      </c>
      <c r="AI65" s="116">
        <v>110</v>
      </c>
      <c r="AJ65" s="93">
        <v>6000</v>
      </c>
      <c r="AK65" s="93" t="s">
        <v>302</v>
      </c>
      <c r="AL65" s="93"/>
      <c r="AM65" s="93"/>
    </row>
    <row r="66" spans="32:39" x14ac:dyDescent="0.3">
      <c r="AF66" s="117">
        <v>118</v>
      </c>
      <c r="AG66" s="68">
        <v>8300</v>
      </c>
      <c r="AH66" s="107">
        <v>45232</v>
      </c>
      <c r="AI66" s="116">
        <v>112</v>
      </c>
      <c r="AJ66" s="93">
        <v>2000</v>
      </c>
      <c r="AK66" s="93" t="s">
        <v>292</v>
      </c>
      <c r="AL66" s="93"/>
      <c r="AM66" s="93"/>
    </row>
    <row r="67" spans="32:39" x14ac:dyDescent="0.3">
      <c r="AF67" s="117">
        <v>118</v>
      </c>
      <c r="AG67" s="68">
        <v>8500</v>
      </c>
      <c r="AH67" s="107">
        <v>45232</v>
      </c>
      <c r="AI67" s="116">
        <v>112</v>
      </c>
      <c r="AJ67" s="93">
        <v>3000</v>
      </c>
      <c r="AK67" s="93" t="s">
        <v>292</v>
      </c>
      <c r="AL67" s="93"/>
      <c r="AM67" s="93"/>
    </row>
    <row r="68" spans="32:39" x14ac:dyDescent="0.3">
      <c r="AF68" s="117">
        <v>120</v>
      </c>
      <c r="AG68" s="68">
        <v>3900</v>
      </c>
      <c r="AH68" s="107" t="s">
        <v>262</v>
      </c>
      <c r="AI68" s="116">
        <v>113</v>
      </c>
      <c r="AJ68" s="93">
        <v>19700</v>
      </c>
      <c r="AK68" s="93" t="s">
        <v>308</v>
      </c>
      <c r="AL68" s="93"/>
      <c r="AM68" s="93"/>
    </row>
    <row r="69" spans="32:39" x14ac:dyDescent="0.3">
      <c r="AF69" s="117">
        <v>121</v>
      </c>
      <c r="AG69" s="68">
        <v>4600</v>
      </c>
      <c r="AH69" s="107">
        <v>45232</v>
      </c>
      <c r="AI69" s="116">
        <v>117</v>
      </c>
      <c r="AJ69" s="93">
        <v>1000</v>
      </c>
      <c r="AK69" s="93" t="s">
        <v>299</v>
      </c>
      <c r="AL69" s="93"/>
      <c r="AM69" s="93"/>
    </row>
    <row r="70" spans="32:39" x14ac:dyDescent="0.3">
      <c r="AF70" s="117">
        <v>123</v>
      </c>
      <c r="AG70" s="68">
        <v>500</v>
      </c>
      <c r="AH70" s="107">
        <v>45233</v>
      </c>
      <c r="AI70" s="116">
        <v>117</v>
      </c>
      <c r="AJ70" s="93">
        <v>1000</v>
      </c>
      <c r="AK70" s="93" t="s">
        <v>296</v>
      </c>
      <c r="AL70" s="93"/>
      <c r="AM70" s="93"/>
    </row>
    <row r="71" spans="32:39" x14ac:dyDescent="0.3">
      <c r="AF71" s="117">
        <v>127</v>
      </c>
      <c r="AG71" s="68">
        <v>6000</v>
      </c>
      <c r="AH71" s="107" t="s">
        <v>265</v>
      </c>
      <c r="AI71" s="116">
        <v>122</v>
      </c>
      <c r="AJ71" s="93">
        <v>10500</v>
      </c>
      <c r="AK71" s="93" t="s">
        <v>305</v>
      </c>
      <c r="AL71" s="93"/>
      <c r="AM71" s="93"/>
    </row>
    <row r="72" spans="32:39" x14ac:dyDescent="0.3">
      <c r="AF72" s="117">
        <v>132</v>
      </c>
      <c r="AG72" s="68">
        <v>15700</v>
      </c>
      <c r="AH72" s="107">
        <v>45243</v>
      </c>
      <c r="AI72" s="116">
        <v>123</v>
      </c>
      <c r="AJ72" s="93">
        <v>5000</v>
      </c>
      <c r="AK72" s="93" t="s">
        <v>294</v>
      </c>
      <c r="AL72" s="93"/>
      <c r="AM72" s="93"/>
    </row>
    <row r="73" spans="32:39" x14ac:dyDescent="0.3">
      <c r="AF73" s="117">
        <v>134</v>
      </c>
      <c r="AG73" s="68">
        <v>500</v>
      </c>
      <c r="AH73" s="107">
        <v>45232</v>
      </c>
      <c r="AI73" s="116">
        <v>140</v>
      </c>
      <c r="AJ73" s="93">
        <v>6000</v>
      </c>
      <c r="AK73" s="93" t="s">
        <v>304</v>
      </c>
      <c r="AL73" s="93"/>
      <c r="AM73" s="93"/>
    </row>
    <row r="74" spans="32:39" x14ac:dyDescent="0.3">
      <c r="AF74" s="117" t="s">
        <v>226</v>
      </c>
      <c r="AG74" s="68">
        <v>13500</v>
      </c>
      <c r="AH74" s="107">
        <v>45231</v>
      </c>
      <c r="AI74" s="116">
        <v>140</v>
      </c>
      <c r="AJ74" s="93">
        <v>2700</v>
      </c>
      <c r="AK74" s="93" t="s">
        <v>294</v>
      </c>
      <c r="AL74" s="93"/>
      <c r="AM74" s="93"/>
    </row>
    <row r="75" spans="32:39" x14ac:dyDescent="0.3">
      <c r="AF75" s="117" t="s">
        <v>226</v>
      </c>
      <c r="AG75" s="68">
        <v>2100</v>
      </c>
      <c r="AH75" s="107" t="s">
        <v>273</v>
      </c>
      <c r="AI75" s="116">
        <v>141</v>
      </c>
      <c r="AJ75" s="93">
        <v>5400</v>
      </c>
      <c r="AK75" s="93" t="s">
        <v>303</v>
      </c>
      <c r="AL75" s="93"/>
      <c r="AM75" s="93"/>
    </row>
    <row r="76" spans="32:39" x14ac:dyDescent="0.3">
      <c r="AF76" s="117" t="s">
        <v>226</v>
      </c>
      <c r="AG76" s="68">
        <v>18000</v>
      </c>
      <c r="AH76" s="107">
        <v>45604</v>
      </c>
      <c r="AI76" s="116">
        <v>142</v>
      </c>
      <c r="AJ76" s="93">
        <v>350</v>
      </c>
      <c r="AK76" s="93" t="s">
        <v>305</v>
      </c>
      <c r="AL76" s="93"/>
      <c r="AM76" s="93"/>
    </row>
    <row r="77" spans="32:39" x14ac:dyDescent="0.3">
      <c r="AF77" s="117">
        <v>148</v>
      </c>
      <c r="AG77" s="68">
        <v>291</v>
      </c>
      <c r="AH77" s="107">
        <v>45233</v>
      </c>
      <c r="AI77" s="116">
        <v>142</v>
      </c>
      <c r="AJ77" s="93">
        <v>500</v>
      </c>
      <c r="AK77" s="93" t="s">
        <v>305</v>
      </c>
      <c r="AL77" s="93"/>
      <c r="AM77" s="93"/>
    </row>
    <row r="78" spans="32:39" x14ac:dyDescent="0.3">
      <c r="AF78" s="117" t="s">
        <v>277</v>
      </c>
      <c r="AG78" s="68">
        <v>18000</v>
      </c>
      <c r="AH78" s="107">
        <v>45243</v>
      </c>
      <c r="AI78" s="116">
        <v>142</v>
      </c>
      <c r="AJ78" s="93">
        <v>2300</v>
      </c>
      <c r="AK78" s="93" t="s">
        <v>308</v>
      </c>
      <c r="AL78" s="93"/>
      <c r="AM78" s="93"/>
    </row>
    <row r="79" spans="32:39" x14ac:dyDescent="0.3">
      <c r="AF79" s="117" t="s">
        <v>277</v>
      </c>
      <c r="AG79" s="68">
        <v>27600</v>
      </c>
      <c r="AH79" s="107">
        <v>45243</v>
      </c>
      <c r="AI79" s="116">
        <v>142</v>
      </c>
      <c r="AJ79" s="93">
        <v>3500</v>
      </c>
      <c r="AK79" s="93" t="s">
        <v>308</v>
      </c>
      <c r="AL79" s="93"/>
      <c r="AM79" s="93"/>
    </row>
    <row r="80" spans="32:39" x14ac:dyDescent="0.3">
      <c r="AF80" s="117">
        <v>161</v>
      </c>
      <c r="AG80" s="68">
        <v>1000</v>
      </c>
      <c r="AH80" s="107" t="s">
        <v>266</v>
      </c>
      <c r="AI80" s="116">
        <v>142</v>
      </c>
      <c r="AJ80" s="93">
        <v>6000</v>
      </c>
      <c r="AK80" s="93" t="s">
        <v>308</v>
      </c>
      <c r="AL80" s="93"/>
      <c r="AM80" s="93"/>
    </row>
    <row r="81" spans="32:39" x14ac:dyDescent="0.3">
      <c r="AF81" s="117">
        <v>161</v>
      </c>
      <c r="AG81" s="68">
        <v>6000</v>
      </c>
      <c r="AH81" s="107" t="s">
        <v>266</v>
      </c>
      <c r="AI81" s="116">
        <v>143</v>
      </c>
      <c r="AJ81" s="93">
        <v>350</v>
      </c>
      <c r="AK81" s="93" t="s">
        <v>305</v>
      </c>
      <c r="AL81" s="93"/>
      <c r="AM81" s="93"/>
    </row>
    <row r="82" spans="32:39" x14ac:dyDescent="0.3">
      <c r="AF82" s="90" t="s">
        <v>173</v>
      </c>
      <c r="AG82" s="118">
        <f>SUM(AG4:AG81)</f>
        <v>381745</v>
      </c>
      <c r="AH82" s="119"/>
      <c r="AI82" s="116">
        <v>143</v>
      </c>
      <c r="AJ82" s="93">
        <v>500</v>
      </c>
      <c r="AK82" s="93" t="s">
        <v>305</v>
      </c>
      <c r="AL82" s="93"/>
      <c r="AM82" s="93"/>
    </row>
    <row r="83" spans="32:39" x14ac:dyDescent="0.3">
      <c r="AI83" s="116">
        <v>143</v>
      </c>
      <c r="AJ83" s="93">
        <v>2300</v>
      </c>
      <c r="AK83" s="93" t="s">
        <v>308</v>
      </c>
      <c r="AL83" s="93"/>
      <c r="AM83" s="93"/>
    </row>
    <row r="84" spans="32:39" x14ac:dyDescent="0.3">
      <c r="AI84" s="116">
        <v>143</v>
      </c>
      <c r="AJ84" s="93">
        <v>3500</v>
      </c>
      <c r="AK84" s="93" t="s">
        <v>308</v>
      </c>
      <c r="AL84" s="93"/>
      <c r="AM84" s="93"/>
    </row>
    <row r="85" spans="32:39" x14ac:dyDescent="0.3">
      <c r="AI85" s="116">
        <v>143</v>
      </c>
      <c r="AJ85" s="93">
        <v>6000</v>
      </c>
      <c r="AK85" s="93" t="s">
        <v>308</v>
      </c>
      <c r="AL85" s="93"/>
      <c r="AM85" s="93"/>
    </row>
    <row r="86" spans="32:39" x14ac:dyDescent="0.3">
      <c r="AI86" s="116">
        <v>144</v>
      </c>
      <c r="AJ86" s="93">
        <v>350</v>
      </c>
      <c r="AK86" s="93" t="s">
        <v>305</v>
      </c>
      <c r="AL86" s="93"/>
      <c r="AM86" s="93"/>
    </row>
    <row r="87" spans="32:39" x14ac:dyDescent="0.3">
      <c r="AI87" s="116">
        <v>144</v>
      </c>
      <c r="AJ87" s="93">
        <v>500</v>
      </c>
      <c r="AK87" s="93" t="s">
        <v>305</v>
      </c>
      <c r="AL87" s="93"/>
      <c r="AM87" s="93"/>
    </row>
    <row r="88" spans="32:39" x14ac:dyDescent="0.3">
      <c r="AI88" s="116">
        <v>144</v>
      </c>
      <c r="AJ88" s="93">
        <v>2300</v>
      </c>
      <c r="AK88" s="93" t="s">
        <v>308</v>
      </c>
      <c r="AL88" s="93"/>
      <c r="AM88" s="93"/>
    </row>
    <row r="89" spans="32:39" x14ac:dyDescent="0.3">
      <c r="AI89" s="116">
        <v>144</v>
      </c>
      <c r="AJ89" s="93">
        <v>3500</v>
      </c>
      <c r="AK89" s="93" t="s">
        <v>308</v>
      </c>
      <c r="AL89" s="93"/>
      <c r="AM89" s="93"/>
    </row>
    <row r="90" spans="32:39" x14ac:dyDescent="0.3">
      <c r="AI90" s="116">
        <v>144</v>
      </c>
      <c r="AJ90" s="93">
        <v>6000</v>
      </c>
      <c r="AK90" s="93" t="s">
        <v>308</v>
      </c>
      <c r="AL90" s="93"/>
      <c r="AM90" s="93"/>
    </row>
    <row r="91" spans="32:39" x14ac:dyDescent="0.3">
      <c r="AI91" s="116">
        <v>145</v>
      </c>
      <c r="AJ91" s="93">
        <v>350</v>
      </c>
      <c r="AK91" s="93" t="s">
        <v>305</v>
      </c>
      <c r="AL91" s="93"/>
      <c r="AM91" s="93"/>
    </row>
    <row r="92" spans="32:39" x14ac:dyDescent="0.3">
      <c r="AI92" s="116">
        <v>145</v>
      </c>
      <c r="AJ92" s="93">
        <v>500</v>
      </c>
      <c r="AK92" s="93" t="s">
        <v>305</v>
      </c>
      <c r="AL92" s="93"/>
      <c r="AM92" s="93"/>
    </row>
    <row r="93" spans="32:39" x14ac:dyDescent="0.3">
      <c r="AI93" s="116">
        <v>145</v>
      </c>
      <c r="AJ93" s="93">
        <v>2300</v>
      </c>
      <c r="AK93" s="93" t="s">
        <v>308</v>
      </c>
      <c r="AL93" s="93"/>
      <c r="AM93" s="93"/>
    </row>
    <row r="94" spans="32:39" x14ac:dyDescent="0.3">
      <c r="AI94" s="116">
        <v>145</v>
      </c>
      <c r="AJ94" s="93">
        <v>3500</v>
      </c>
      <c r="AK94" s="93" t="s">
        <v>308</v>
      </c>
      <c r="AL94" s="93"/>
      <c r="AM94" s="93"/>
    </row>
    <row r="95" spans="32:39" x14ac:dyDescent="0.3">
      <c r="AI95" s="116">
        <v>145</v>
      </c>
      <c r="AJ95" s="93">
        <v>6000</v>
      </c>
      <c r="AK95" s="93" t="s">
        <v>308</v>
      </c>
      <c r="AL95" s="93"/>
      <c r="AM95" s="93"/>
    </row>
    <row r="96" spans="32:39" x14ac:dyDescent="0.3">
      <c r="AI96" s="116">
        <v>148</v>
      </c>
      <c r="AJ96" s="93">
        <v>770</v>
      </c>
      <c r="AK96" s="93" t="s">
        <v>304</v>
      </c>
      <c r="AL96" s="93"/>
      <c r="AM96" s="93"/>
    </row>
    <row r="97" spans="35:39" x14ac:dyDescent="0.3">
      <c r="AI97" s="116">
        <v>152</v>
      </c>
      <c r="AJ97" s="93">
        <v>6000</v>
      </c>
      <c r="AK97" s="93" t="s">
        <v>293</v>
      </c>
      <c r="AL97" s="93"/>
      <c r="AM97" s="93"/>
    </row>
    <row r="98" spans="35:39" x14ac:dyDescent="0.3">
      <c r="AI98" s="116">
        <v>160</v>
      </c>
      <c r="AJ98" s="93">
        <v>6000</v>
      </c>
      <c r="AK98" s="93" t="s">
        <v>292</v>
      </c>
      <c r="AL98" s="93"/>
      <c r="AM98" s="93"/>
    </row>
    <row r="99" spans="35:39" x14ac:dyDescent="0.3">
      <c r="AI99" s="116">
        <v>161</v>
      </c>
      <c r="AJ99" s="93">
        <v>2000</v>
      </c>
      <c r="AK99" s="93" t="s">
        <v>290</v>
      </c>
      <c r="AL99" s="93"/>
      <c r="AM99" s="93"/>
    </row>
    <row r="100" spans="35:39" x14ac:dyDescent="0.3">
      <c r="AI100" s="116">
        <v>163</v>
      </c>
      <c r="AJ100" s="93">
        <v>6000</v>
      </c>
      <c r="AK100" s="93" t="s">
        <v>292</v>
      </c>
      <c r="AL100" s="93"/>
      <c r="AM100" s="93"/>
    </row>
    <row r="101" spans="35:39" x14ac:dyDescent="0.3">
      <c r="AI101" s="116" t="s">
        <v>278</v>
      </c>
      <c r="AJ101" s="93">
        <v>6900</v>
      </c>
      <c r="AK101" s="93" t="s">
        <v>295</v>
      </c>
      <c r="AL101" s="93"/>
      <c r="AM101" s="93"/>
    </row>
    <row r="102" spans="35:39" x14ac:dyDescent="0.3">
      <c r="AI102" s="90" t="s">
        <v>173</v>
      </c>
      <c r="AJ102" s="122">
        <f>SUM(AJ4:AJ101)</f>
        <v>386974.48</v>
      </c>
      <c r="AK102" s="93"/>
      <c r="AL102" s="122">
        <f t="shared" ref="AL102:AM102" si="0">SUM(AL4:AL101)</f>
        <v>1519.72</v>
      </c>
      <c r="AM102" s="122">
        <f t="shared" si="0"/>
        <v>3000</v>
      </c>
    </row>
  </sheetData>
  <sortState ref="AF4:AH51">
    <sortCondition ref="AF4:AF51"/>
  </sortState>
  <mergeCells count="12">
    <mergeCell ref="AI2:AM2"/>
    <mergeCell ref="AF2:AH2"/>
    <mergeCell ref="A2:C2"/>
    <mergeCell ref="D2:G2"/>
    <mergeCell ref="H2:J2"/>
    <mergeCell ref="K2:M2"/>
    <mergeCell ref="N2:P2"/>
    <mergeCell ref="AC2:AE2"/>
    <mergeCell ref="Z2:AB2"/>
    <mergeCell ref="W2:Y2"/>
    <mergeCell ref="T2:V2"/>
    <mergeCell ref="Q2:S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BA487"/>
  <sheetViews>
    <sheetView topLeftCell="AJ1" workbookViewId="0">
      <pane ySplit="3" topLeftCell="A36" activePane="bottomLeft" state="frozen"/>
      <selection activeCell="G17" sqref="G17"/>
      <selection pane="bottomLeft" activeCell="AX2" sqref="AX2:BA56"/>
    </sheetView>
  </sheetViews>
  <sheetFormatPr defaultRowHeight="14.4" x14ac:dyDescent="0.3"/>
  <cols>
    <col min="2" max="2" width="10.109375" bestFit="1" customWidth="1"/>
    <col min="3" max="3" width="10.109375" style="52" bestFit="1" customWidth="1"/>
    <col min="4" max="4" width="9.21875" customWidth="1"/>
    <col min="6" max="6" width="10.109375" bestFit="1" customWidth="1"/>
    <col min="7" max="7" width="9.5546875" bestFit="1" customWidth="1"/>
    <col min="8" max="8" width="8.33203125" bestFit="1" customWidth="1"/>
    <col min="9" max="9" width="8.5546875" bestFit="1" customWidth="1"/>
    <col min="11" max="11" width="10.109375" bestFit="1" customWidth="1"/>
    <col min="16" max="16" width="10.109375" bestFit="1" customWidth="1"/>
    <col min="17" max="17" width="10.33203125" customWidth="1"/>
    <col min="21" max="21" width="10.109375" bestFit="1" customWidth="1"/>
    <col min="24" max="24" width="10.109375" bestFit="1" customWidth="1"/>
    <col min="30" max="30" width="10.109375" bestFit="1" customWidth="1"/>
    <col min="34" max="34" width="10.109375" bestFit="1" customWidth="1"/>
    <col min="41" max="41" width="11.109375" customWidth="1"/>
    <col min="42" max="42" width="11.33203125" customWidth="1"/>
    <col min="45" max="45" width="11.109375" customWidth="1"/>
    <col min="46" max="46" width="11.33203125" customWidth="1"/>
    <col min="51" max="51" width="11.109375" customWidth="1"/>
  </cols>
  <sheetData>
    <row r="1" spans="1:53" x14ac:dyDescent="0.3">
      <c r="A1" s="142" t="s">
        <v>311</v>
      </c>
      <c r="B1" s="140"/>
      <c r="C1" s="141"/>
    </row>
    <row r="2" spans="1:53" x14ac:dyDescent="0.3">
      <c r="A2" s="508" t="s">
        <v>169</v>
      </c>
      <c r="B2" s="509"/>
      <c r="C2" s="509"/>
      <c r="D2" s="510"/>
      <c r="E2" s="508" t="s">
        <v>177</v>
      </c>
      <c r="F2" s="509"/>
      <c r="G2" s="509"/>
      <c r="H2" s="509"/>
      <c r="I2" s="510"/>
      <c r="J2" s="508" t="s">
        <v>182</v>
      </c>
      <c r="K2" s="509"/>
      <c r="L2" s="509"/>
      <c r="M2" s="509"/>
      <c r="N2" s="510"/>
      <c r="O2" s="508" t="s">
        <v>188</v>
      </c>
      <c r="P2" s="509"/>
      <c r="Q2" s="509"/>
      <c r="R2" s="509"/>
      <c r="S2" s="510"/>
      <c r="T2" s="508" t="s">
        <v>229</v>
      </c>
      <c r="U2" s="509"/>
      <c r="V2" s="509"/>
      <c r="W2" s="508" t="s">
        <v>232</v>
      </c>
      <c r="X2" s="509"/>
      <c r="Y2" s="509"/>
      <c r="Z2" s="509"/>
      <c r="AA2" s="509"/>
      <c r="AB2" s="510"/>
      <c r="AC2" s="506" t="s">
        <v>235</v>
      </c>
      <c r="AD2" s="506"/>
      <c r="AE2" s="506"/>
      <c r="AF2" s="506"/>
      <c r="AG2" s="506" t="s">
        <v>240</v>
      </c>
      <c r="AH2" s="506"/>
      <c r="AI2" s="501"/>
      <c r="AJ2" s="506" t="s">
        <v>248</v>
      </c>
      <c r="AK2" s="506"/>
      <c r="AL2" s="506"/>
      <c r="AM2" s="93"/>
      <c r="AN2" s="506" t="s">
        <v>259</v>
      </c>
      <c r="AO2" s="506"/>
      <c r="AP2" s="506"/>
      <c r="AQ2" s="93"/>
      <c r="AR2" s="506" t="s">
        <v>279</v>
      </c>
      <c r="AS2" s="506"/>
      <c r="AT2" s="506"/>
      <c r="AU2" s="368"/>
      <c r="AV2" s="368"/>
      <c r="AW2" s="93"/>
      <c r="AX2" s="506" t="s">
        <v>286</v>
      </c>
      <c r="AY2" s="506"/>
      <c r="AZ2" s="506"/>
      <c r="BA2" s="93"/>
    </row>
    <row r="3" spans="1:53" s="131" customFormat="1" ht="43.8" thickBot="1" x14ac:dyDescent="0.35">
      <c r="A3" s="144" t="s">
        <v>170</v>
      </c>
      <c r="B3" s="145" t="s">
        <v>172</v>
      </c>
      <c r="C3" s="146" t="s">
        <v>171</v>
      </c>
      <c r="D3" s="147" t="s">
        <v>313</v>
      </c>
      <c r="E3" s="150" t="s">
        <v>170</v>
      </c>
      <c r="F3" s="151" t="s">
        <v>172</v>
      </c>
      <c r="G3" s="128" t="s">
        <v>171</v>
      </c>
      <c r="H3" s="152" t="s">
        <v>313</v>
      </c>
      <c r="I3" s="152" t="s">
        <v>324</v>
      </c>
      <c r="J3" s="150" t="s">
        <v>170</v>
      </c>
      <c r="K3" s="151" t="s">
        <v>172</v>
      </c>
      <c r="L3" s="128" t="s">
        <v>171</v>
      </c>
      <c r="M3" s="152" t="s">
        <v>313</v>
      </c>
      <c r="N3" s="155" t="s">
        <v>324</v>
      </c>
      <c r="O3" s="150" t="s">
        <v>170</v>
      </c>
      <c r="P3" s="151" t="s">
        <v>172</v>
      </c>
      <c r="Q3" s="128" t="s">
        <v>171</v>
      </c>
      <c r="R3" s="152" t="s">
        <v>313</v>
      </c>
      <c r="S3" s="152" t="s">
        <v>324</v>
      </c>
      <c r="T3" s="150" t="s">
        <v>170</v>
      </c>
      <c r="U3" s="151" t="s">
        <v>172</v>
      </c>
      <c r="V3" s="165" t="s">
        <v>171</v>
      </c>
      <c r="W3" s="85" t="s">
        <v>170</v>
      </c>
      <c r="X3" s="86" t="s">
        <v>172</v>
      </c>
      <c r="Y3" s="127" t="s">
        <v>171</v>
      </c>
      <c r="Z3" s="168" t="s">
        <v>313</v>
      </c>
      <c r="AA3" s="168" t="s">
        <v>324</v>
      </c>
      <c r="AB3" s="170" t="s">
        <v>406</v>
      </c>
      <c r="AC3" s="85" t="s">
        <v>170</v>
      </c>
      <c r="AD3" s="86" t="s">
        <v>172</v>
      </c>
      <c r="AE3" s="127" t="s">
        <v>171</v>
      </c>
      <c r="AF3" s="170" t="s">
        <v>406</v>
      </c>
      <c r="AG3" s="85" t="s">
        <v>170</v>
      </c>
      <c r="AH3" s="86" t="s">
        <v>172</v>
      </c>
      <c r="AI3" s="356" t="s">
        <v>171</v>
      </c>
      <c r="AJ3" s="170" t="s">
        <v>170</v>
      </c>
      <c r="AK3" s="85" t="s">
        <v>172</v>
      </c>
      <c r="AL3" s="86" t="s">
        <v>171</v>
      </c>
      <c r="AM3" s="170" t="s">
        <v>406</v>
      </c>
      <c r="AN3" s="170" t="s">
        <v>170</v>
      </c>
      <c r="AO3" s="85" t="s">
        <v>172</v>
      </c>
      <c r="AP3" s="86" t="s">
        <v>171</v>
      </c>
      <c r="AQ3" s="170" t="s">
        <v>406</v>
      </c>
      <c r="AR3" s="170" t="s">
        <v>170</v>
      </c>
      <c r="AS3" s="85" t="s">
        <v>172</v>
      </c>
      <c r="AT3" s="86" t="s">
        <v>171</v>
      </c>
      <c r="AU3" s="168" t="s">
        <v>313</v>
      </c>
      <c r="AV3" s="168" t="s">
        <v>324</v>
      </c>
      <c r="AW3" s="170" t="s">
        <v>406</v>
      </c>
      <c r="AX3" s="170" t="s">
        <v>170</v>
      </c>
      <c r="AY3" s="85" t="s">
        <v>172</v>
      </c>
      <c r="AZ3" s="86" t="s">
        <v>171</v>
      </c>
      <c r="BA3" s="170" t="s">
        <v>406</v>
      </c>
    </row>
    <row r="4" spans="1:53" ht="14.4" customHeight="1" x14ac:dyDescent="0.3">
      <c r="A4" s="54">
        <v>6</v>
      </c>
      <c r="B4" s="143" t="s">
        <v>314</v>
      </c>
      <c r="C4" s="55">
        <v>767</v>
      </c>
      <c r="D4" s="132"/>
      <c r="E4" s="154">
        <v>6</v>
      </c>
      <c r="F4" s="93" t="s">
        <v>327</v>
      </c>
      <c r="G4" s="93">
        <v>767</v>
      </c>
      <c r="H4" s="93"/>
      <c r="I4" s="93"/>
      <c r="J4" s="154">
        <v>6</v>
      </c>
      <c r="K4" s="93" t="s">
        <v>347</v>
      </c>
      <c r="L4" s="93">
        <v>767</v>
      </c>
      <c r="M4" s="93"/>
      <c r="N4" s="156"/>
      <c r="O4" s="158">
        <v>6</v>
      </c>
      <c r="P4" s="93" t="s">
        <v>363</v>
      </c>
      <c r="Q4" s="93">
        <v>767</v>
      </c>
      <c r="R4" s="93"/>
      <c r="S4" s="93"/>
      <c r="T4" s="162">
        <v>5</v>
      </c>
      <c r="U4" s="160">
        <v>45432</v>
      </c>
      <c r="V4" s="166">
        <v>4600</v>
      </c>
      <c r="W4" s="158">
        <v>6</v>
      </c>
      <c r="X4" s="93" t="s">
        <v>390</v>
      </c>
      <c r="Y4" s="93">
        <v>767</v>
      </c>
      <c r="Z4" s="93"/>
      <c r="AA4" s="93"/>
      <c r="AB4" s="93"/>
      <c r="AC4" s="158">
        <v>3</v>
      </c>
      <c r="AD4" s="93">
        <v>45477</v>
      </c>
      <c r="AE4" s="93">
        <v>5000</v>
      </c>
      <c r="AF4" s="93"/>
      <c r="AG4">
        <v>2</v>
      </c>
      <c r="AH4" t="s">
        <v>417</v>
      </c>
      <c r="AI4">
        <v>11000</v>
      </c>
      <c r="AJ4" s="93">
        <v>3</v>
      </c>
      <c r="AK4" s="93" t="s">
        <v>437</v>
      </c>
      <c r="AL4" s="93">
        <v>5000</v>
      </c>
      <c r="AM4" s="93"/>
      <c r="AN4" s="357">
        <v>3</v>
      </c>
      <c r="AO4" s="358">
        <v>45579</v>
      </c>
      <c r="AP4" s="360">
        <v>5000</v>
      </c>
      <c r="AQ4" s="359"/>
      <c r="AR4" s="357">
        <v>3</v>
      </c>
      <c r="AS4" s="366" t="s">
        <v>456</v>
      </c>
      <c r="AT4" s="367">
        <v>5000</v>
      </c>
      <c r="AU4" s="93"/>
      <c r="AV4" s="93"/>
      <c r="AW4" s="359"/>
      <c r="AX4" s="93">
        <v>3</v>
      </c>
      <c r="AY4" s="93" t="s">
        <v>472</v>
      </c>
      <c r="AZ4" s="372">
        <v>5000</v>
      </c>
      <c r="BA4" s="93"/>
    </row>
    <row r="5" spans="1:53" ht="14.4" customHeight="1" x14ac:dyDescent="0.3">
      <c r="A5" s="47">
        <v>7</v>
      </c>
      <c r="B5" s="89" t="s">
        <v>315</v>
      </c>
      <c r="C5" s="42">
        <v>2500</v>
      </c>
      <c r="D5" s="93"/>
      <c r="E5" s="154">
        <v>9</v>
      </c>
      <c r="F5" s="93" t="s">
        <v>328</v>
      </c>
      <c r="G5" s="93">
        <v>57</v>
      </c>
      <c r="H5" s="93"/>
      <c r="I5" s="93"/>
      <c r="J5" s="154">
        <v>7</v>
      </c>
      <c r="K5" s="93" t="s">
        <v>348</v>
      </c>
      <c r="L5" s="93">
        <v>2500</v>
      </c>
      <c r="M5" s="93"/>
      <c r="N5" s="156"/>
      <c r="O5" s="158">
        <v>7</v>
      </c>
      <c r="P5" s="93" t="s">
        <v>364</v>
      </c>
      <c r="Q5" s="93">
        <v>1000</v>
      </c>
      <c r="R5" s="93"/>
      <c r="S5" s="93"/>
      <c r="T5" s="162">
        <v>6</v>
      </c>
      <c r="U5" s="160">
        <v>45432</v>
      </c>
      <c r="V5" s="166">
        <v>767</v>
      </c>
      <c r="W5" s="158">
        <v>9</v>
      </c>
      <c r="X5" s="93" t="s">
        <v>391</v>
      </c>
      <c r="Y5" s="93">
        <v>780</v>
      </c>
      <c r="Z5" s="93"/>
      <c r="AA5" s="93"/>
      <c r="AB5" s="93"/>
      <c r="AC5" s="158">
        <v>6</v>
      </c>
      <c r="AD5" s="160">
        <v>45493</v>
      </c>
      <c r="AE5" s="93">
        <v>1067</v>
      </c>
      <c r="AF5" s="93"/>
      <c r="AG5">
        <v>3</v>
      </c>
      <c r="AH5" t="s">
        <v>418</v>
      </c>
      <c r="AI5">
        <v>5000</v>
      </c>
      <c r="AJ5" s="93">
        <v>4</v>
      </c>
      <c r="AK5" s="93" t="s">
        <v>438</v>
      </c>
      <c r="AL5" s="93">
        <v>11000</v>
      </c>
      <c r="AM5" s="93"/>
      <c r="AN5" s="357">
        <v>5</v>
      </c>
      <c r="AO5" s="358">
        <v>45583</v>
      </c>
      <c r="AP5" s="361">
        <v>3700</v>
      </c>
      <c r="AQ5" s="357"/>
      <c r="AR5" s="357">
        <v>5</v>
      </c>
      <c r="AS5" s="366" t="s">
        <v>457</v>
      </c>
      <c r="AT5" s="367">
        <v>1000</v>
      </c>
      <c r="AU5" s="93"/>
      <c r="AV5" s="93"/>
      <c r="AW5" s="357"/>
      <c r="AX5" s="93">
        <v>6</v>
      </c>
      <c r="AY5" s="93" t="s">
        <v>483</v>
      </c>
      <c r="AZ5" s="373">
        <v>917</v>
      </c>
      <c r="BA5" s="93"/>
    </row>
    <row r="6" spans="1:53" ht="14.4" customHeight="1" x14ac:dyDescent="0.3">
      <c r="A6" s="47">
        <v>8</v>
      </c>
      <c r="B6" s="89" t="s">
        <v>315</v>
      </c>
      <c r="C6" s="42">
        <v>2500</v>
      </c>
      <c r="D6" s="93"/>
      <c r="E6" s="154">
        <v>9</v>
      </c>
      <c r="F6" s="93" t="s">
        <v>328</v>
      </c>
      <c r="G6" s="93">
        <v>710</v>
      </c>
      <c r="H6" s="93"/>
      <c r="I6" s="93"/>
      <c r="J6" s="154">
        <v>8</v>
      </c>
      <c r="K6" s="93" t="s">
        <v>348</v>
      </c>
      <c r="L6" s="93">
        <v>2500</v>
      </c>
      <c r="M6" s="93"/>
      <c r="N6" s="156"/>
      <c r="O6" s="158">
        <v>8</v>
      </c>
      <c r="P6" s="93" t="s">
        <v>364</v>
      </c>
      <c r="Q6" s="93">
        <v>1000</v>
      </c>
      <c r="R6" s="93"/>
      <c r="S6" s="93"/>
      <c r="T6" s="162">
        <v>9</v>
      </c>
      <c r="U6" s="160">
        <v>45428</v>
      </c>
      <c r="V6" s="166">
        <v>600</v>
      </c>
      <c r="W6" s="158">
        <v>10</v>
      </c>
      <c r="X6" s="93" t="s">
        <v>390</v>
      </c>
      <c r="Y6" s="93">
        <v>767</v>
      </c>
      <c r="Z6" s="93"/>
      <c r="AA6" s="93"/>
      <c r="AB6" s="93"/>
      <c r="AC6" s="158">
        <v>7</v>
      </c>
      <c r="AD6" s="160">
        <v>45489</v>
      </c>
      <c r="AE6" s="93">
        <v>2750</v>
      </c>
      <c r="AF6" s="93"/>
      <c r="AG6">
        <v>6</v>
      </c>
      <c r="AH6" t="s">
        <v>419</v>
      </c>
      <c r="AI6">
        <v>917</v>
      </c>
      <c r="AJ6" s="93">
        <v>6</v>
      </c>
      <c r="AK6" s="93" t="s">
        <v>439</v>
      </c>
      <c r="AL6" s="93">
        <v>917</v>
      </c>
      <c r="AM6" s="93"/>
      <c r="AN6" s="357">
        <v>6</v>
      </c>
      <c r="AO6" s="358">
        <v>45587.435694444459</v>
      </c>
      <c r="AP6" s="362">
        <v>917</v>
      </c>
      <c r="AQ6" s="359"/>
      <c r="AR6" s="357">
        <v>6</v>
      </c>
      <c r="AS6" s="366" t="s">
        <v>458</v>
      </c>
      <c r="AT6" s="367">
        <v>917</v>
      </c>
      <c r="AU6" s="93"/>
      <c r="AV6" s="93"/>
      <c r="AW6" s="359"/>
      <c r="AX6" s="93">
        <v>10</v>
      </c>
      <c r="AY6" s="93" t="s">
        <v>483</v>
      </c>
      <c r="AZ6" s="373">
        <v>917</v>
      </c>
      <c r="BA6" s="93"/>
    </row>
    <row r="7" spans="1:53" ht="14.4" customHeight="1" x14ac:dyDescent="0.3">
      <c r="A7" s="47">
        <v>10</v>
      </c>
      <c r="B7" s="89" t="s">
        <v>314</v>
      </c>
      <c r="C7" s="42">
        <v>767</v>
      </c>
      <c r="D7" s="93"/>
      <c r="E7" s="154">
        <v>10</v>
      </c>
      <c r="F7" s="93" t="s">
        <v>327</v>
      </c>
      <c r="G7" s="93">
        <v>767</v>
      </c>
      <c r="H7" s="93"/>
      <c r="I7" s="93"/>
      <c r="J7" s="154">
        <v>9</v>
      </c>
      <c r="K7" s="93" t="s">
        <v>349</v>
      </c>
      <c r="L7" s="93">
        <v>767</v>
      </c>
      <c r="M7" s="93"/>
      <c r="N7" s="156"/>
      <c r="O7" s="158">
        <v>9</v>
      </c>
      <c r="P7" s="93" t="s">
        <v>365</v>
      </c>
      <c r="Q7" s="93">
        <v>600</v>
      </c>
      <c r="R7" s="93"/>
      <c r="S7" s="93"/>
      <c r="T7" s="162">
        <v>9</v>
      </c>
      <c r="U7" s="160">
        <v>45428</v>
      </c>
      <c r="V7" s="166">
        <v>780</v>
      </c>
      <c r="W7" s="158">
        <v>11</v>
      </c>
      <c r="X7" s="93" t="s">
        <v>390</v>
      </c>
      <c r="Y7" s="93">
        <v>767</v>
      </c>
      <c r="Z7" s="93"/>
      <c r="AA7" s="93"/>
      <c r="AB7" s="93"/>
      <c r="AC7" s="158">
        <v>8</v>
      </c>
      <c r="AD7" s="160">
        <v>45489</v>
      </c>
      <c r="AE7" s="93">
        <v>2750</v>
      </c>
      <c r="AF7" s="93"/>
      <c r="AG7">
        <v>7</v>
      </c>
      <c r="AH7" t="s">
        <v>420</v>
      </c>
      <c r="AI7">
        <v>2750</v>
      </c>
      <c r="AJ7" s="93">
        <v>10</v>
      </c>
      <c r="AK7" s="93" t="s">
        <v>439</v>
      </c>
      <c r="AL7" s="93">
        <v>917</v>
      </c>
      <c r="AM7" s="93"/>
      <c r="AN7" s="357">
        <v>10</v>
      </c>
      <c r="AO7" s="358">
        <v>45587.435798611026</v>
      </c>
      <c r="AP7" s="362">
        <v>917</v>
      </c>
      <c r="AQ7" s="359"/>
      <c r="AR7" s="357">
        <v>7</v>
      </c>
      <c r="AS7" s="366" t="s">
        <v>459</v>
      </c>
      <c r="AT7" s="367">
        <v>2750</v>
      </c>
      <c r="AU7" s="93"/>
      <c r="AV7" s="93"/>
      <c r="AW7" s="359"/>
      <c r="AX7" s="93">
        <v>11</v>
      </c>
      <c r="AY7" s="93" t="s">
        <v>483</v>
      </c>
      <c r="AZ7" s="373">
        <v>917</v>
      </c>
      <c r="BA7" s="93"/>
    </row>
    <row r="8" spans="1:53" ht="14.4" customHeight="1" x14ac:dyDescent="0.3">
      <c r="A8" s="47">
        <v>11</v>
      </c>
      <c r="B8" s="89" t="s">
        <v>314</v>
      </c>
      <c r="C8" s="42">
        <v>767</v>
      </c>
      <c r="D8" s="93"/>
      <c r="E8" s="154">
        <v>11</v>
      </c>
      <c r="F8" s="93" t="s">
        <v>327</v>
      </c>
      <c r="G8" s="93">
        <v>767</v>
      </c>
      <c r="H8" s="93"/>
      <c r="I8" s="93"/>
      <c r="J8" s="154">
        <v>10</v>
      </c>
      <c r="K8" s="93" t="s">
        <v>347</v>
      </c>
      <c r="L8" s="93">
        <v>767</v>
      </c>
      <c r="M8" s="93"/>
      <c r="N8" s="156"/>
      <c r="O8" s="158">
        <v>9</v>
      </c>
      <c r="P8" s="93" t="s">
        <v>365</v>
      </c>
      <c r="Q8" s="93">
        <v>767</v>
      </c>
      <c r="R8" s="93"/>
      <c r="S8" s="93"/>
      <c r="T8" s="162">
        <v>10</v>
      </c>
      <c r="U8" s="160">
        <v>45432</v>
      </c>
      <c r="V8" s="166">
        <v>767</v>
      </c>
      <c r="W8" s="158">
        <v>12</v>
      </c>
      <c r="X8" s="93" t="s">
        <v>392</v>
      </c>
      <c r="Y8" s="93">
        <v>34300</v>
      </c>
      <c r="Z8" s="93"/>
      <c r="AA8" s="93"/>
      <c r="AB8" s="93"/>
      <c r="AC8" s="158">
        <v>10</v>
      </c>
      <c r="AD8" s="160">
        <v>45493</v>
      </c>
      <c r="AE8" s="93">
        <v>1067</v>
      </c>
      <c r="AF8" s="93"/>
      <c r="AG8">
        <v>8</v>
      </c>
      <c r="AH8" t="s">
        <v>420</v>
      </c>
      <c r="AI8">
        <v>2750</v>
      </c>
      <c r="AJ8" s="93">
        <v>11</v>
      </c>
      <c r="AK8" s="93" t="s">
        <v>439</v>
      </c>
      <c r="AL8" s="93">
        <v>917</v>
      </c>
      <c r="AM8" s="93"/>
      <c r="AN8" s="357">
        <v>11</v>
      </c>
      <c r="AO8" s="358">
        <v>45587.437222222332</v>
      </c>
      <c r="AP8" s="362">
        <v>917</v>
      </c>
      <c r="AQ8" s="359"/>
      <c r="AR8" s="357">
        <v>8</v>
      </c>
      <c r="AS8" s="366" t="s">
        <v>459</v>
      </c>
      <c r="AT8" s="367">
        <v>2750</v>
      </c>
      <c r="AU8" s="93"/>
      <c r="AV8" s="93"/>
      <c r="AW8" s="359"/>
      <c r="AX8" s="93">
        <v>14</v>
      </c>
      <c r="AY8" s="93" t="s">
        <v>472</v>
      </c>
      <c r="AZ8" s="374">
        <f>917+917</f>
        <v>1834</v>
      </c>
      <c r="BA8" s="93"/>
    </row>
    <row r="9" spans="1:53" ht="14.4" customHeight="1" x14ac:dyDescent="0.3">
      <c r="A9" s="47">
        <v>14</v>
      </c>
      <c r="B9" s="89" t="s">
        <v>316</v>
      </c>
      <c r="C9" s="42">
        <v>767</v>
      </c>
      <c r="D9" s="93"/>
      <c r="E9" s="154">
        <v>14</v>
      </c>
      <c r="F9" s="93" t="s">
        <v>329</v>
      </c>
      <c r="G9" s="93">
        <v>767</v>
      </c>
      <c r="H9" s="93"/>
      <c r="I9" s="93"/>
      <c r="J9" s="154">
        <v>11</v>
      </c>
      <c r="K9" s="93" t="s">
        <v>347</v>
      </c>
      <c r="L9" s="93">
        <v>767</v>
      </c>
      <c r="M9" s="93"/>
      <c r="N9" s="156"/>
      <c r="O9" s="158">
        <v>10</v>
      </c>
      <c r="P9" s="93" t="s">
        <v>363</v>
      </c>
      <c r="Q9" s="93">
        <v>767</v>
      </c>
      <c r="R9" s="93"/>
      <c r="S9" s="93"/>
      <c r="T9" s="162">
        <v>11</v>
      </c>
      <c r="U9" s="160">
        <v>45432</v>
      </c>
      <c r="V9" s="166">
        <v>767</v>
      </c>
      <c r="W9" s="158">
        <v>13</v>
      </c>
      <c r="X9" s="93" t="s">
        <v>393</v>
      </c>
      <c r="Y9" s="93">
        <v>7000</v>
      </c>
      <c r="Z9" s="93"/>
      <c r="AA9" s="93"/>
      <c r="AB9" s="93"/>
      <c r="AC9" s="158">
        <v>11</v>
      </c>
      <c r="AD9" s="160">
        <v>45493</v>
      </c>
      <c r="AE9" s="93">
        <v>1067</v>
      </c>
      <c r="AF9" s="93"/>
      <c r="AG9">
        <v>9</v>
      </c>
      <c r="AH9" t="s">
        <v>419</v>
      </c>
      <c r="AI9">
        <v>1000</v>
      </c>
      <c r="AJ9" s="93">
        <v>12</v>
      </c>
      <c r="AK9" s="93" t="s">
        <v>439</v>
      </c>
      <c r="AL9" s="93">
        <v>2750</v>
      </c>
      <c r="AM9" s="93"/>
      <c r="AN9" s="357">
        <v>14</v>
      </c>
      <c r="AO9" s="358">
        <v>45579</v>
      </c>
      <c r="AP9" s="362">
        <v>917</v>
      </c>
      <c r="AQ9" s="359"/>
      <c r="AR9" s="364">
        <v>10</v>
      </c>
      <c r="AS9" s="366" t="s">
        <v>458</v>
      </c>
      <c r="AT9" s="367">
        <v>917</v>
      </c>
      <c r="AU9" s="93"/>
      <c r="AV9" s="93"/>
      <c r="AW9" s="359"/>
      <c r="AX9" s="93">
        <v>15</v>
      </c>
      <c r="AY9" s="93" t="s">
        <v>473</v>
      </c>
      <c r="AZ9" s="372">
        <v>2750</v>
      </c>
      <c r="BA9" s="93"/>
    </row>
    <row r="10" spans="1:53" ht="14.4" customHeight="1" x14ac:dyDescent="0.3">
      <c r="A10" s="47">
        <v>14</v>
      </c>
      <c r="B10" s="89" t="s">
        <v>316</v>
      </c>
      <c r="C10" s="42">
        <v>1000</v>
      </c>
      <c r="D10" s="93"/>
      <c r="E10" s="154">
        <v>14</v>
      </c>
      <c r="F10" s="93" t="s">
        <v>329</v>
      </c>
      <c r="G10" s="93">
        <v>1000</v>
      </c>
      <c r="H10" s="93"/>
      <c r="I10" s="93"/>
      <c r="J10" s="154">
        <v>14</v>
      </c>
      <c r="K10" s="93" t="s">
        <v>350</v>
      </c>
      <c r="L10" s="93">
        <v>767</v>
      </c>
      <c r="M10" s="93"/>
      <c r="N10" s="156"/>
      <c r="O10" s="158">
        <v>11</v>
      </c>
      <c r="P10" s="93" t="s">
        <v>363</v>
      </c>
      <c r="Q10" s="93">
        <v>767</v>
      </c>
      <c r="R10" s="93"/>
      <c r="S10" s="93"/>
      <c r="T10" s="162">
        <v>14</v>
      </c>
      <c r="U10" s="93" t="s">
        <v>382</v>
      </c>
      <c r="V10" s="166">
        <v>767</v>
      </c>
      <c r="W10" s="158">
        <v>14</v>
      </c>
      <c r="X10" s="93" t="s">
        <v>394</v>
      </c>
      <c r="Y10" s="93">
        <v>767</v>
      </c>
      <c r="Z10" s="93"/>
      <c r="AA10" s="93"/>
      <c r="AB10" s="93"/>
      <c r="AC10" s="158">
        <v>14</v>
      </c>
      <c r="AD10" s="93" t="s">
        <v>410</v>
      </c>
      <c r="AE10" s="93">
        <v>350</v>
      </c>
      <c r="AF10" s="93"/>
      <c r="AG10">
        <v>10</v>
      </c>
      <c r="AH10" t="s">
        <v>419</v>
      </c>
      <c r="AI10">
        <v>917</v>
      </c>
      <c r="AJ10" s="93">
        <v>13</v>
      </c>
      <c r="AK10" s="93" t="s">
        <v>439</v>
      </c>
      <c r="AL10" s="93">
        <v>6000</v>
      </c>
      <c r="AM10" s="93"/>
      <c r="AN10" s="357">
        <v>16</v>
      </c>
      <c r="AO10" s="358">
        <v>45567</v>
      </c>
      <c r="AP10" s="362">
        <v>15000</v>
      </c>
      <c r="AQ10" s="359"/>
      <c r="AR10" s="357">
        <v>11</v>
      </c>
      <c r="AS10" s="366" t="s">
        <v>458</v>
      </c>
      <c r="AT10" s="367">
        <v>917</v>
      </c>
      <c r="AU10" s="93"/>
      <c r="AV10" s="93"/>
      <c r="AW10" s="359"/>
      <c r="AX10" s="93">
        <v>18</v>
      </c>
      <c r="AY10" s="93" t="s">
        <v>474</v>
      </c>
      <c r="AZ10" s="374">
        <v>5500</v>
      </c>
      <c r="BA10" s="93"/>
    </row>
    <row r="11" spans="1:53" ht="14.4" customHeight="1" x14ac:dyDescent="0.3">
      <c r="A11" s="47">
        <v>37</v>
      </c>
      <c r="B11" s="89" t="s">
        <v>317</v>
      </c>
      <c r="C11" s="42">
        <v>15367</v>
      </c>
      <c r="D11" s="93"/>
      <c r="E11" s="154">
        <v>30</v>
      </c>
      <c r="F11" s="93" t="s">
        <v>330</v>
      </c>
      <c r="G11" s="93">
        <v>2298</v>
      </c>
      <c r="H11" s="93"/>
      <c r="I11" s="93"/>
      <c r="J11" s="154">
        <v>14</v>
      </c>
      <c r="K11" s="93" t="s">
        <v>350</v>
      </c>
      <c r="L11" s="93">
        <v>1000</v>
      </c>
      <c r="M11" s="93"/>
      <c r="N11" s="156"/>
      <c r="O11" s="158">
        <v>14</v>
      </c>
      <c r="P11" s="93" t="s">
        <v>366</v>
      </c>
      <c r="Q11" s="93">
        <v>767</v>
      </c>
      <c r="R11" s="93"/>
      <c r="S11" s="93"/>
      <c r="T11" s="162">
        <v>19</v>
      </c>
      <c r="U11" s="160">
        <v>45434</v>
      </c>
      <c r="V11" s="166">
        <v>6100</v>
      </c>
      <c r="W11" s="158">
        <v>14</v>
      </c>
      <c r="X11" s="93" t="s">
        <v>395</v>
      </c>
      <c r="Y11" s="93">
        <v>150</v>
      </c>
      <c r="Z11" s="93"/>
      <c r="AA11" s="93"/>
      <c r="AB11" s="93"/>
      <c r="AC11" s="158">
        <v>14</v>
      </c>
      <c r="AD11" s="93" t="s">
        <v>410</v>
      </c>
      <c r="AE11" s="93">
        <v>917</v>
      </c>
      <c r="AF11" s="93"/>
      <c r="AG11">
        <v>11</v>
      </c>
      <c r="AH11" t="s">
        <v>419</v>
      </c>
      <c r="AI11">
        <v>917</v>
      </c>
      <c r="AJ11" s="93">
        <v>13</v>
      </c>
      <c r="AK11" s="93" t="s">
        <v>439</v>
      </c>
      <c r="AL11" s="93">
        <v>2750</v>
      </c>
      <c r="AM11" s="93"/>
      <c r="AN11" s="357">
        <v>19</v>
      </c>
      <c r="AO11" s="358">
        <v>45579</v>
      </c>
      <c r="AP11" s="360">
        <v>11000</v>
      </c>
      <c r="AQ11" s="359"/>
      <c r="AR11" s="357">
        <v>14</v>
      </c>
      <c r="AS11" s="366" t="s">
        <v>460</v>
      </c>
      <c r="AT11" s="367">
        <v>917</v>
      </c>
      <c r="AU11" s="93"/>
      <c r="AV11" s="93"/>
      <c r="AW11" s="359"/>
      <c r="AX11" s="93">
        <v>26</v>
      </c>
      <c r="AY11" s="93" t="s">
        <v>475</v>
      </c>
      <c r="AZ11" s="372">
        <v>2750</v>
      </c>
      <c r="BA11" s="93"/>
    </row>
    <row r="12" spans="1:53" ht="14.4" customHeight="1" x14ac:dyDescent="0.3">
      <c r="A12" s="47">
        <v>38</v>
      </c>
      <c r="B12" s="89" t="s">
        <v>318</v>
      </c>
      <c r="C12" s="93"/>
      <c r="D12" s="42">
        <v>130</v>
      </c>
      <c r="E12" s="154">
        <v>31</v>
      </c>
      <c r="F12" s="93" t="s">
        <v>331</v>
      </c>
      <c r="G12" s="93">
        <v>2298</v>
      </c>
      <c r="H12" s="93"/>
      <c r="I12" s="93"/>
      <c r="J12" s="154">
        <v>16</v>
      </c>
      <c r="K12" s="93" t="s">
        <v>351</v>
      </c>
      <c r="L12" s="93">
        <v>14400</v>
      </c>
      <c r="M12" s="93"/>
      <c r="N12" s="156"/>
      <c r="O12" s="158">
        <v>14</v>
      </c>
      <c r="P12" s="93" t="s">
        <v>366</v>
      </c>
      <c r="Q12" s="93">
        <v>1000</v>
      </c>
      <c r="R12" s="93"/>
      <c r="S12" s="93"/>
      <c r="T12" s="162">
        <v>22</v>
      </c>
      <c r="U12" s="160">
        <v>45427</v>
      </c>
      <c r="V12" s="166">
        <v>4200</v>
      </c>
      <c r="W12" s="158">
        <v>15</v>
      </c>
      <c r="X12" s="93" t="s">
        <v>396</v>
      </c>
      <c r="Y12" s="93">
        <v>4000</v>
      </c>
      <c r="Z12" s="93"/>
      <c r="AA12" s="93"/>
      <c r="AB12" s="93"/>
      <c r="AC12" s="158">
        <v>15</v>
      </c>
      <c r="AD12" s="93" t="s">
        <v>411</v>
      </c>
      <c r="AE12" s="93">
        <v>2751</v>
      </c>
      <c r="AF12" s="93"/>
      <c r="AG12">
        <v>14</v>
      </c>
      <c r="AH12" t="s">
        <v>421</v>
      </c>
      <c r="AI12">
        <v>917</v>
      </c>
      <c r="AJ12" s="93">
        <v>14</v>
      </c>
      <c r="AK12" s="93" t="s">
        <v>440</v>
      </c>
      <c r="AL12" s="93">
        <v>917</v>
      </c>
      <c r="AM12" s="93"/>
      <c r="AN12" s="357">
        <v>22</v>
      </c>
      <c r="AO12" s="358">
        <v>45588.51500000013</v>
      </c>
      <c r="AP12" s="362">
        <v>5500</v>
      </c>
      <c r="AQ12" s="359"/>
      <c r="AR12" s="357">
        <v>27</v>
      </c>
      <c r="AS12" s="366" t="s">
        <v>461</v>
      </c>
      <c r="AT12" s="367">
        <v>5500</v>
      </c>
      <c r="AU12" s="93"/>
      <c r="AV12" s="93"/>
      <c r="AW12" s="359"/>
      <c r="AX12" s="93">
        <v>30</v>
      </c>
      <c r="AY12" s="93" t="s">
        <v>475</v>
      </c>
      <c r="AZ12" s="372">
        <v>2750</v>
      </c>
      <c r="BA12" s="93"/>
    </row>
    <row r="13" spans="1:53" ht="14.4" customHeight="1" x14ac:dyDescent="0.3">
      <c r="A13" s="47">
        <v>40</v>
      </c>
      <c r="B13" s="89" t="s">
        <v>319</v>
      </c>
      <c r="C13" s="42">
        <v>6000</v>
      </c>
      <c r="D13" s="93"/>
      <c r="E13" s="154">
        <v>39</v>
      </c>
      <c r="F13" s="93" t="s">
        <v>332</v>
      </c>
      <c r="G13" s="93">
        <v>6000</v>
      </c>
      <c r="H13" s="93"/>
      <c r="I13" s="93"/>
      <c r="J13" s="154">
        <v>23</v>
      </c>
      <c r="K13" s="93" t="s">
        <v>350</v>
      </c>
      <c r="L13" s="93">
        <v>1530</v>
      </c>
      <c r="M13" s="93"/>
      <c r="N13" s="156"/>
      <c r="O13" s="158">
        <v>19</v>
      </c>
      <c r="P13" s="93" t="s">
        <v>367</v>
      </c>
      <c r="Q13" s="93">
        <v>6000</v>
      </c>
      <c r="R13" s="93"/>
      <c r="S13" s="93"/>
      <c r="T13" s="162">
        <v>24</v>
      </c>
      <c r="U13" s="93" t="s">
        <v>383</v>
      </c>
      <c r="V13" s="166">
        <v>14500</v>
      </c>
      <c r="W13" s="158">
        <v>15</v>
      </c>
      <c r="X13" s="93" t="s">
        <v>396</v>
      </c>
      <c r="Y13" s="93">
        <v>6375</v>
      </c>
      <c r="Z13" s="93"/>
      <c r="AA13" s="93"/>
      <c r="AB13" s="93"/>
      <c r="AC13" s="158">
        <v>18</v>
      </c>
      <c r="AD13" s="160">
        <v>45479</v>
      </c>
      <c r="AE13" s="93">
        <v>2000</v>
      </c>
      <c r="AF13" s="93"/>
      <c r="AG13">
        <v>20</v>
      </c>
      <c r="AH13" t="s">
        <v>422</v>
      </c>
      <c r="AI13">
        <v>11000</v>
      </c>
      <c r="AJ13" s="93">
        <v>28</v>
      </c>
      <c r="AK13" s="93" t="s">
        <v>441</v>
      </c>
      <c r="AL13" s="93">
        <v>2750</v>
      </c>
      <c r="AM13" s="93"/>
      <c r="AN13" s="357">
        <v>32</v>
      </c>
      <c r="AO13" s="358">
        <v>45571</v>
      </c>
      <c r="AP13" s="362">
        <v>1000</v>
      </c>
      <c r="AQ13" s="359"/>
      <c r="AR13" s="357">
        <v>36</v>
      </c>
      <c r="AS13" s="366" t="s">
        <v>462</v>
      </c>
      <c r="AT13" s="367">
        <v>5500</v>
      </c>
      <c r="AU13" s="93"/>
      <c r="AV13" s="93"/>
      <c r="AW13" s="359"/>
      <c r="AX13" s="93">
        <v>31</v>
      </c>
      <c r="AY13" s="93" t="s">
        <v>475</v>
      </c>
      <c r="AZ13" s="372">
        <v>2750</v>
      </c>
      <c r="BA13" s="93"/>
    </row>
    <row r="14" spans="1:53" ht="14.4" customHeight="1" x14ac:dyDescent="0.3">
      <c r="A14" s="47">
        <v>60</v>
      </c>
      <c r="B14" s="89" t="s">
        <v>320</v>
      </c>
      <c r="C14" s="42">
        <v>3000</v>
      </c>
      <c r="D14" s="93"/>
      <c r="E14" s="154">
        <v>51</v>
      </c>
      <c r="F14" s="93" t="s">
        <v>333</v>
      </c>
      <c r="G14" s="93">
        <v>6000</v>
      </c>
      <c r="H14" s="93"/>
      <c r="I14" s="93"/>
      <c r="J14" s="154">
        <v>23</v>
      </c>
      <c r="K14" s="93" t="s">
        <v>350</v>
      </c>
      <c r="L14" s="93">
        <v>6000</v>
      </c>
      <c r="M14" s="93"/>
      <c r="N14" s="156"/>
      <c r="O14" s="158">
        <v>26</v>
      </c>
      <c r="P14" s="93" t="s">
        <v>368</v>
      </c>
      <c r="Q14" s="93">
        <v>2300</v>
      </c>
      <c r="R14" s="93"/>
      <c r="S14" s="93"/>
      <c r="T14" s="162">
        <v>27</v>
      </c>
      <c r="U14" s="93" t="s">
        <v>383</v>
      </c>
      <c r="V14" s="166">
        <v>10375</v>
      </c>
      <c r="W14" s="158">
        <v>17</v>
      </c>
      <c r="X14" s="93" t="s">
        <v>397</v>
      </c>
      <c r="Y14" s="93">
        <v>700</v>
      </c>
      <c r="Z14" s="93"/>
      <c r="AA14" s="93"/>
      <c r="AB14" s="93"/>
      <c r="AC14" s="158">
        <v>18</v>
      </c>
      <c r="AD14" s="160">
        <v>45479</v>
      </c>
      <c r="AE14" s="93">
        <v>5500</v>
      </c>
      <c r="AF14" s="93"/>
      <c r="AG14">
        <v>26</v>
      </c>
      <c r="AH14" t="s">
        <v>422</v>
      </c>
      <c r="AI14">
        <v>2750</v>
      </c>
      <c r="AJ14" s="93">
        <v>30</v>
      </c>
      <c r="AK14" s="93" t="s">
        <v>442</v>
      </c>
      <c r="AL14" s="93">
        <v>2750</v>
      </c>
      <c r="AM14" s="93"/>
      <c r="AN14" s="357">
        <v>33</v>
      </c>
      <c r="AO14" s="358">
        <v>45589.525277777575</v>
      </c>
      <c r="AP14" s="362">
        <v>3367</v>
      </c>
      <c r="AQ14" s="359"/>
      <c r="AR14" s="357">
        <v>38</v>
      </c>
      <c r="AS14" s="366" t="s">
        <v>463</v>
      </c>
      <c r="AT14" s="367">
        <v>3000</v>
      </c>
      <c r="AU14" s="93"/>
      <c r="AV14" s="93"/>
      <c r="AW14" s="359"/>
      <c r="AX14" s="93">
        <v>32</v>
      </c>
      <c r="AY14" s="93" t="s">
        <v>476</v>
      </c>
      <c r="AZ14" s="372">
        <v>1750</v>
      </c>
      <c r="BA14" s="93"/>
    </row>
    <row r="15" spans="1:53" ht="14.4" customHeight="1" x14ac:dyDescent="0.3">
      <c r="A15" s="47">
        <v>63</v>
      </c>
      <c r="B15" s="89" t="s">
        <v>321</v>
      </c>
      <c r="C15" s="42">
        <v>9500</v>
      </c>
      <c r="D15" s="93"/>
      <c r="E15" s="154">
        <v>55</v>
      </c>
      <c r="F15" s="93" t="s">
        <v>334</v>
      </c>
      <c r="G15" s="93">
        <v>4000</v>
      </c>
      <c r="H15" s="93"/>
      <c r="I15" s="93"/>
      <c r="J15" s="154">
        <v>23</v>
      </c>
      <c r="K15" s="93" t="s">
        <v>350</v>
      </c>
      <c r="L15" s="93">
        <v>8500</v>
      </c>
      <c r="M15" s="93"/>
      <c r="N15" s="156"/>
      <c r="O15" s="158">
        <v>57</v>
      </c>
      <c r="P15" s="93" t="s">
        <v>369</v>
      </c>
      <c r="Q15" s="93">
        <v>3000</v>
      </c>
      <c r="R15" s="93"/>
      <c r="S15" s="93"/>
      <c r="T15" s="162">
        <v>29</v>
      </c>
      <c r="U15" s="160">
        <v>45419</v>
      </c>
      <c r="V15" s="166">
        <v>3873</v>
      </c>
      <c r="W15" s="158">
        <v>17</v>
      </c>
      <c r="X15" s="93" t="s">
        <v>397</v>
      </c>
      <c r="Y15" s="93">
        <v>4000</v>
      </c>
      <c r="Z15" s="93"/>
      <c r="AA15" s="93"/>
      <c r="AB15" s="93"/>
      <c r="AC15" s="158">
        <v>25</v>
      </c>
      <c r="AD15" s="93" t="s">
        <v>410</v>
      </c>
      <c r="AE15" s="93">
        <v>11000</v>
      </c>
      <c r="AF15" s="93"/>
      <c r="AG15">
        <v>29</v>
      </c>
      <c r="AH15" t="s">
        <v>418</v>
      </c>
      <c r="AI15">
        <v>917</v>
      </c>
      <c r="AJ15" s="93">
        <v>31</v>
      </c>
      <c r="AK15" s="93" t="s">
        <v>442</v>
      </c>
      <c r="AL15" s="93">
        <v>2750</v>
      </c>
      <c r="AM15" s="93"/>
      <c r="AN15" s="357">
        <v>38</v>
      </c>
      <c r="AO15" s="358">
        <v>45582</v>
      </c>
      <c r="AP15" s="360">
        <v>2800</v>
      </c>
      <c r="AQ15" s="357"/>
      <c r="AR15" s="357">
        <v>42</v>
      </c>
      <c r="AS15" s="366" t="s">
        <v>464</v>
      </c>
      <c r="AT15" s="367">
        <v>1000</v>
      </c>
      <c r="AU15" s="93"/>
      <c r="AV15" s="93"/>
      <c r="AW15" s="357"/>
      <c r="AX15" s="93">
        <v>40</v>
      </c>
      <c r="AY15" s="93" t="s">
        <v>473</v>
      </c>
      <c r="AZ15" s="372">
        <v>6000</v>
      </c>
      <c r="BA15" s="93"/>
    </row>
    <row r="16" spans="1:53" ht="14.4" customHeight="1" x14ac:dyDescent="0.3">
      <c r="A16" s="47">
        <v>100</v>
      </c>
      <c r="B16" s="89" t="s">
        <v>322</v>
      </c>
      <c r="C16" s="42">
        <v>5400</v>
      </c>
      <c r="D16" s="93"/>
      <c r="E16" s="154">
        <v>60</v>
      </c>
      <c r="F16" s="93" t="s">
        <v>333</v>
      </c>
      <c r="G16" s="93">
        <v>3000</v>
      </c>
      <c r="H16" s="93"/>
      <c r="I16" s="93"/>
      <c r="J16" s="154">
        <v>32</v>
      </c>
      <c r="K16" s="93" t="s">
        <v>352</v>
      </c>
      <c r="L16" s="93">
        <v>4500</v>
      </c>
      <c r="M16" s="93"/>
      <c r="N16" s="156"/>
      <c r="O16" s="158">
        <v>58</v>
      </c>
      <c r="P16" s="93" t="s">
        <v>370</v>
      </c>
      <c r="Q16" s="93">
        <v>6500</v>
      </c>
      <c r="R16" s="93"/>
      <c r="S16" s="93"/>
      <c r="T16" s="162">
        <v>33</v>
      </c>
      <c r="U16" s="160">
        <v>45429</v>
      </c>
      <c r="V16" s="166">
        <v>9400</v>
      </c>
      <c r="W16" s="158">
        <v>17</v>
      </c>
      <c r="X16" s="93" t="s">
        <v>397</v>
      </c>
      <c r="Y16" s="93">
        <v>4600</v>
      </c>
      <c r="Z16" s="93"/>
      <c r="AA16" s="93"/>
      <c r="AB16" s="93"/>
      <c r="AC16" s="158">
        <v>34</v>
      </c>
      <c r="AD16" s="93" t="s">
        <v>410</v>
      </c>
      <c r="AE16" s="93">
        <v>11000</v>
      </c>
      <c r="AF16" s="93"/>
      <c r="AG16">
        <v>29</v>
      </c>
      <c r="AH16" t="s">
        <v>418</v>
      </c>
      <c r="AI16">
        <v>1834</v>
      </c>
      <c r="AJ16" s="93">
        <v>32</v>
      </c>
      <c r="AK16" s="93" t="s">
        <v>443</v>
      </c>
      <c r="AL16" s="93">
        <v>2850</v>
      </c>
      <c r="AM16" s="93"/>
      <c r="AN16" s="357">
        <v>42</v>
      </c>
      <c r="AO16" s="358">
        <v>45568</v>
      </c>
      <c r="AP16" s="362">
        <v>1000</v>
      </c>
      <c r="AQ16" s="359"/>
      <c r="AR16" s="357">
        <v>43</v>
      </c>
      <c r="AS16" s="366" t="s">
        <v>464</v>
      </c>
      <c r="AT16" s="367">
        <v>1000</v>
      </c>
      <c r="AU16" s="93"/>
      <c r="AV16" s="93"/>
      <c r="AW16" s="359"/>
      <c r="AX16" s="93">
        <v>41</v>
      </c>
      <c r="AY16" s="93" t="s">
        <v>477</v>
      </c>
      <c r="AZ16" s="372">
        <v>3500</v>
      </c>
      <c r="BA16" s="93"/>
    </row>
    <row r="17" spans="1:53" ht="14.4" customHeight="1" x14ac:dyDescent="0.3">
      <c r="A17" s="47">
        <v>101</v>
      </c>
      <c r="B17" s="89" t="s">
        <v>322</v>
      </c>
      <c r="C17" s="42">
        <v>6000</v>
      </c>
      <c r="D17" s="93"/>
      <c r="E17" s="154">
        <v>63</v>
      </c>
      <c r="F17" s="93" t="s">
        <v>329</v>
      </c>
      <c r="G17" s="93">
        <v>6000</v>
      </c>
      <c r="H17" s="93"/>
      <c r="I17" s="93"/>
      <c r="J17" s="154">
        <v>38</v>
      </c>
      <c r="K17" s="93" t="s">
        <v>350</v>
      </c>
      <c r="L17" s="93">
        <v>500</v>
      </c>
      <c r="M17" s="93"/>
      <c r="N17" s="156"/>
      <c r="O17" s="158">
        <v>60</v>
      </c>
      <c r="P17" s="93" t="s">
        <v>371</v>
      </c>
      <c r="Q17" s="93">
        <v>1000</v>
      </c>
      <c r="R17" s="93"/>
      <c r="S17" s="93"/>
      <c r="T17" s="162">
        <v>34</v>
      </c>
      <c r="U17" s="160">
        <v>45419</v>
      </c>
      <c r="V17" s="166">
        <v>1200</v>
      </c>
      <c r="W17" s="158">
        <v>26</v>
      </c>
      <c r="X17" s="93" t="s">
        <v>398</v>
      </c>
      <c r="Y17" s="93">
        <v>2750</v>
      </c>
      <c r="Z17" s="93"/>
      <c r="AA17" s="93"/>
      <c r="AB17" s="93"/>
      <c r="AC17" s="158">
        <v>36</v>
      </c>
      <c r="AD17" s="352">
        <v>45498</v>
      </c>
      <c r="AE17" s="153">
        <v>5500</v>
      </c>
      <c r="AF17" s="153"/>
      <c r="AG17">
        <v>53</v>
      </c>
      <c r="AH17" t="s">
        <v>423</v>
      </c>
      <c r="AI17">
        <v>2750</v>
      </c>
      <c r="AJ17" s="93">
        <v>35</v>
      </c>
      <c r="AK17" s="93" t="s">
        <v>443</v>
      </c>
      <c r="AL17" s="93">
        <v>18400</v>
      </c>
      <c r="AM17" s="93"/>
      <c r="AN17" s="357">
        <v>43</v>
      </c>
      <c r="AO17" s="358">
        <v>45568</v>
      </c>
      <c r="AP17" s="362">
        <v>1000</v>
      </c>
      <c r="AQ17" s="359"/>
      <c r="AR17" s="357">
        <v>44</v>
      </c>
      <c r="AS17" s="366" t="s">
        <v>465</v>
      </c>
      <c r="AT17" s="367"/>
      <c r="AU17" s="93"/>
      <c r="AV17" s="93"/>
      <c r="AW17" s="359">
        <v>20000</v>
      </c>
      <c r="AX17" s="93">
        <v>42</v>
      </c>
      <c r="AY17" s="93" t="s">
        <v>476</v>
      </c>
      <c r="AZ17" s="372">
        <v>1000</v>
      </c>
      <c r="BA17" s="93"/>
    </row>
    <row r="18" spans="1:53" ht="14.4" customHeight="1" x14ac:dyDescent="0.3">
      <c r="A18" s="47">
        <v>102</v>
      </c>
      <c r="B18" s="89" t="s">
        <v>322</v>
      </c>
      <c r="C18" s="42">
        <v>3000</v>
      </c>
      <c r="D18" s="93"/>
      <c r="E18" s="154">
        <v>68</v>
      </c>
      <c r="F18" s="93" t="s">
        <v>335</v>
      </c>
      <c r="G18" s="93">
        <v>9200</v>
      </c>
      <c r="H18" s="93"/>
      <c r="I18" s="93"/>
      <c r="J18" s="154">
        <v>38</v>
      </c>
      <c r="K18" s="93" t="s">
        <v>350</v>
      </c>
      <c r="L18" s="93">
        <v>3000</v>
      </c>
      <c r="M18" s="93"/>
      <c r="N18" s="156"/>
      <c r="O18" s="158">
        <v>60</v>
      </c>
      <c r="P18" s="93" t="s">
        <v>371</v>
      </c>
      <c r="Q18" s="93">
        <v>2000</v>
      </c>
      <c r="R18" s="93"/>
      <c r="S18" s="93"/>
      <c r="T18" s="162">
        <v>34</v>
      </c>
      <c r="U18" s="160">
        <v>45425</v>
      </c>
      <c r="V18" s="166">
        <v>4000</v>
      </c>
      <c r="W18" s="158">
        <v>28</v>
      </c>
      <c r="X18" s="93">
        <v>45444</v>
      </c>
      <c r="Y18" s="93">
        <v>4450</v>
      </c>
      <c r="Z18" s="93"/>
      <c r="AA18" s="93"/>
      <c r="AB18" s="93"/>
      <c r="AC18" s="158">
        <v>40</v>
      </c>
      <c r="AD18" s="160">
        <v>45490</v>
      </c>
      <c r="AE18" s="93">
        <v>350</v>
      </c>
      <c r="AF18" s="93"/>
      <c r="AG18">
        <v>64</v>
      </c>
      <c r="AH18" t="s">
        <v>424</v>
      </c>
      <c r="AI18">
        <v>4000</v>
      </c>
      <c r="AJ18" s="93">
        <v>38</v>
      </c>
      <c r="AK18" s="93" t="s">
        <v>438</v>
      </c>
      <c r="AL18" s="93">
        <v>2750</v>
      </c>
      <c r="AM18" s="93"/>
      <c r="AN18" s="357">
        <v>44</v>
      </c>
      <c r="AO18" s="358">
        <v>45568</v>
      </c>
      <c r="AP18" s="362"/>
      <c r="AQ18" s="359">
        <v>20000</v>
      </c>
      <c r="AR18" s="357">
        <v>51</v>
      </c>
      <c r="AS18" s="366" t="s">
        <v>466</v>
      </c>
      <c r="AT18" s="367">
        <v>3600</v>
      </c>
      <c r="AU18" s="93"/>
      <c r="AV18" s="93"/>
      <c r="AW18" s="359"/>
      <c r="AX18" s="93">
        <v>43</v>
      </c>
      <c r="AY18" s="93" t="s">
        <v>476</v>
      </c>
      <c r="AZ18" s="372">
        <v>1000</v>
      </c>
      <c r="BA18" s="93"/>
    </row>
    <row r="19" spans="1:53" ht="14.4" customHeight="1" x14ac:dyDescent="0.3">
      <c r="A19" s="47">
        <v>128</v>
      </c>
      <c r="B19" s="89" t="s">
        <v>323</v>
      </c>
      <c r="C19" s="42">
        <v>6000</v>
      </c>
      <c r="D19" s="93"/>
      <c r="E19" s="154">
        <v>78</v>
      </c>
      <c r="F19" s="93" t="s">
        <v>332</v>
      </c>
      <c r="G19" s="93">
        <v>500</v>
      </c>
      <c r="H19" s="93"/>
      <c r="I19" s="93"/>
      <c r="J19" s="154">
        <v>41</v>
      </c>
      <c r="K19" s="93" t="s">
        <v>353</v>
      </c>
      <c r="L19" s="93">
        <v>2000</v>
      </c>
      <c r="M19" s="93"/>
      <c r="N19" s="156"/>
      <c r="O19" s="158">
        <v>60</v>
      </c>
      <c r="P19" s="93" t="s">
        <v>363</v>
      </c>
      <c r="Q19" s="93">
        <v>1000</v>
      </c>
      <c r="R19" s="93"/>
      <c r="S19" s="93"/>
      <c r="T19" s="162">
        <v>36</v>
      </c>
      <c r="U19" s="160">
        <v>45419</v>
      </c>
      <c r="V19" s="166">
        <v>2950</v>
      </c>
      <c r="W19" s="158">
        <v>30</v>
      </c>
      <c r="X19" s="93" t="s">
        <v>399</v>
      </c>
      <c r="Y19" s="93">
        <v>1709</v>
      </c>
      <c r="Z19" s="93"/>
      <c r="AA19" s="93"/>
      <c r="AB19" s="93"/>
      <c r="AC19" s="158">
        <v>41</v>
      </c>
      <c r="AD19" s="160">
        <v>45488</v>
      </c>
      <c r="AE19" s="93">
        <v>4000</v>
      </c>
      <c r="AF19" s="93"/>
      <c r="AG19">
        <v>76</v>
      </c>
      <c r="AH19" t="s">
        <v>425</v>
      </c>
      <c r="AI19">
        <v>1560</v>
      </c>
      <c r="AJ19" s="93">
        <v>39</v>
      </c>
      <c r="AK19" s="93" t="s">
        <v>444</v>
      </c>
      <c r="AL19" s="93">
        <v>2600</v>
      </c>
      <c r="AM19" s="93"/>
      <c r="AN19" s="357">
        <v>46</v>
      </c>
      <c r="AO19" s="358">
        <v>45586.068310185336</v>
      </c>
      <c r="AP19" s="362">
        <v>3000</v>
      </c>
      <c r="AQ19" s="359"/>
      <c r="AR19" s="357">
        <v>51</v>
      </c>
      <c r="AS19" s="366" t="s">
        <v>458</v>
      </c>
      <c r="AT19" s="367">
        <v>6000</v>
      </c>
      <c r="AU19" s="93"/>
      <c r="AV19" s="93"/>
      <c r="AW19" s="359"/>
      <c r="AX19" s="93">
        <v>45</v>
      </c>
      <c r="AY19" s="93" t="s">
        <v>484</v>
      </c>
      <c r="AZ19" s="372">
        <v>10100</v>
      </c>
      <c r="BA19" s="93"/>
    </row>
    <row r="20" spans="1:53" ht="14.4" customHeight="1" x14ac:dyDescent="0.3">
      <c r="A20" s="47">
        <v>129</v>
      </c>
      <c r="B20" s="89" t="s">
        <v>323</v>
      </c>
      <c r="C20" s="42">
        <v>6000</v>
      </c>
      <c r="D20" s="93"/>
      <c r="E20" s="154">
        <v>78</v>
      </c>
      <c r="F20" s="93" t="s">
        <v>332</v>
      </c>
      <c r="G20" s="93">
        <v>2000</v>
      </c>
      <c r="H20" s="93"/>
      <c r="I20" s="93"/>
      <c r="J20" s="154">
        <v>44</v>
      </c>
      <c r="K20" s="93" t="s">
        <v>354</v>
      </c>
      <c r="L20" s="93">
        <v>2000</v>
      </c>
      <c r="M20" s="93"/>
      <c r="N20" s="156"/>
      <c r="O20" s="158">
        <v>64</v>
      </c>
      <c r="P20" s="93" t="s">
        <v>372</v>
      </c>
      <c r="Q20" s="93">
        <v>6000</v>
      </c>
      <c r="R20" s="93"/>
      <c r="S20" s="93"/>
      <c r="T20" s="162">
        <v>38</v>
      </c>
      <c r="U20" s="160">
        <v>45425</v>
      </c>
      <c r="V20" s="166">
        <v>3500</v>
      </c>
      <c r="W20" s="158">
        <v>30</v>
      </c>
      <c r="X20" s="93" t="s">
        <v>399</v>
      </c>
      <c r="Y20" s="93">
        <v>2000</v>
      </c>
      <c r="Z20" s="93"/>
      <c r="AA20" s="93"/>
      <c r="AB20" s="93"/>
      <c r="AC20" s="158">
        <v>42</v>
      </c>
      <c r="AD20" s="160">
        <v>45478</v>
      </c>
      <c r="AE20" s="93">
        <v>3000</v>
      </c>
      <c r="AF20" s="93"/>
      <c r="AG20">
        <v>78</v>
      </c>
      <c r="AH20" t="s">
        <v>426</v>
      </c>
      <c r="AI20">
        <v>500</v>
      </c>
      <c r="AJ20" s="93">
        <v>39</v>
      </c>
      <c r="AK20" s="93" t="s">
        <v>445</v>
      </c>
      <c r="AL20" s="93">
        <v>5500</v>
      </c>
      <c r="AM20" s="93"/>
      <c r="AN20" s="357">
        <v>49</v>
      </c>
      <c r="AO20" s="358">
        <v>45572</v>
      </c>
      <c r="AP20" s="362">
        <v>11370</v>
      </c>
      <c r="AQ20" s="359"/>
      <c r="AR20" s="364">
        <v>60</v>
      </c>
      <c r="AS20" s="366" t="s">
        <v>467</v>
      </c>
      <c r="AT20" s="367">
        <v>2000</v>
      </c>
      <c r="AU20" s="93"/>
      <c r="AV20" s="93"/>
      <c r="AW20" s="359"/>
      <c r="AX20" s="93">
        <v>50</v>
      </c>
      <c r="AY20" s="93" t="s">
        <v>481</v>
      </c>
      <c r="AZ20" s="372">
        <v>5400</v>
      </c>
      <c r="BA20" s="93"/>
    </row>
    <row r="21" spans="1:53" ht="14.4" customHeight="1" x14ac:dyDescent="0.3">
      <c r="A21" s="47">
        <v>160</v>
      </c>
      <c r="B21" s="89" t="s">
        <v>314</v>
      </c>
      <c r="C21" s="42">
        <v>3100</v>
      </c>
      <c r="D21" s="93"/>
      <c r="E21" s="154">
        <v>80</v>
      </c>
      <c r="F21" s="93" t="s">
        <v>335</v>
      </c>
      <c r="G21" s="93">
        <v>1000</v>
      </c>
      <c r="H21" s="93"/>
      <c r="I21" s="93"/>
      <c r="J21" s="154">
        <v>44</v>
      </c>
      <c r="K21" s="93" t="s">
        <v>354</v>
      </c>
      <c r="L21" s="93">
        <v>2000</v>
      </c>
      <c r="M21" s="93"/>
      <c r="N21" s="156"/>
      <c r="O21" s="158">
        <v>71</v>
      </c>
      <c r="P21" s="93" t="s">
        <v>373</v>
      </c>
      <c r="Q21" s="93">
        <v>6000</v>
      </c>
      <c r="R21" s="93"/>
      <c r="S21" s="93"/>
      <c r="T21" s="162">
        <v>39</v>
      </c>
      <c r="U21" s="93" t="s">
        <v>383</v>
      </c>
      <c r="V21" s="166">
        <v>2000</v>
      </c>
      <c r="W21" s="158">
        <v>30</v>
      </c>
      <c r="X21" s="93" t="s">
        <v>390</v>
      </c>
      <c r="Y21" s="93">
        <v>2000</v>
      </c>
      <c r="Z21" s="93"/>
      <c r="AA21" s="93"/>
      <c r="AB21" s="93"/>
      <c r="AC21" s="158">
        <v>43</v>
      </c>
      <c r="AD21" s="160">
        <v>45478</v>
      </c>
      <c r="AE21" s="93">
        <v>3000</v>
      </c>
      <c r="AF21" s="93"/>
      <c r="AG21">
        <v>78</v>
      </c>
      <c r="AH21" t="s">
        <v>426</v>
      </c>
      <c r="AI21">
        <v>1500</v>
      </c>
      <c r="AJ21" s="93">
        <v>40</v>
      </c>
      <c r="AK21" s="93" t="s">
        <v>446</v>
      </c>
      <c r="AL21" s="93">
        <v>5000</v>
      </c>
      <c r="AM21" s="93"/>
      <c r="AN21" s="357">
        <v>53</v>
      </c>
      <c r="AO21" s="358">
        <v>45583</v>
      </c>
      <c r="AP21" s="361">
        <v>2750</v>
      </c>
      <c r="AQ21" s="357"/>
      <c r="AR21" s="357">
        <v>78</v>
      </c>
      <c r="AS21" s="366" t="s">
        <v>466</v>
      </c>
      <c r="AT21" s="367">
        <v>1500</v>
      </c>
      <c r="AU21" s="93"/>
      <c r="AV21" s="93"/>
      <c r="AW21" s="357"/>
      <c r="AX21" s="93">
        <v>80</v>
      </c>
      <c r="AY21" s="93" t="s">
        <v>475</v>
      </c>
      <c r="AZ21" s="372">
        <v>167</v>
      </c>
      <c r="BA21" s="93"/>
    </row>
    <row r="22" spans="1:53" s="137" customFormat="1" x14ac:dyDescent="0.3">
      <c r="A22" s="71"/>
      <c r="B22" s="139" t="s">
        <v>173</v>
      </c>
      <c r="C22" s="133">
        <f>SUM(C4:C21)</f>
        <v>72435</v>
      </c>
      <c r="D22" s="133">
        <f>SUM(D4:D21)</f>
        <v>130</v>
      </c>
      <c r="E22" s="154">
        <v>80</v>
      </c>
      <c r="F22" s="153" t="s">
        <v>335</v>
      </c>
      <c r="G22" s="153">
        <v>1500</v>
      </c>
      <c r="H22" s="153"/>
      <c r="I22" s="153"/>
      <c r="J22" s="154">
        <v>49</v>
      </c>
      <c r="K22" s="153" t="s">
        <v>355</v>
      </c>
      <c r="L22" s="153">
        <v>6000</v>
      </c>
      <c r="M22" s="153"/>
      <c r="N22" s="157"/>
      <c r="O22" s="159">
        <v>73</v>
      </c>
      <c r="P22" s="153" t="s">
        <v>364</v>
      </c>
      <c r="Q22" s="153">
        <v>2400</v>
      </c>
      <c r="R22" s="153"/>
      <c r="S22" s="153"/>
      <c r="T22" s="163">
        <v>39</v>
      </c>
      <c r="U22" s="93" t="s">
        <v>383</v>
      </c>
      <c r="V22" s="167">
        <v>2000</v>
      </c>
      <c r="W22" s="159">
        <v>30</v>
      </c>
      <c r="X22" s="153" t="s">
        <v>390</v>
      </c>
      <c r="Y22" s="153">
        <v>2750</v>
      </c>
      <c r="Z22" s="153"/>
      <c r="AA22" s="153"/>
      <c r="AB22" s="153"/>
      <c r="AC22" s="158">
        <v>44</v>
      </c>
      <c r="AD22" s="93" t="s">
        <v>410</v>
      </c>
      <c r="AE22" s="93"/>
      <c r="AF22" s="93">
        <v>15000</v>
      </c>
      <c r="AG22" s="137">
        <v>80</v>
      </c>
      <c r="AH22" s="137" t="s">
        <v>427</v>
      </c>
      <c r="AI22" s="137">
        <v>2000</v>
      </c>
      <c r="AJ22" s="153">
        <v>42</v>
      </c>
      <c r="AK22" s="153" t="s">
        <v>438</v>
      </c>
      <c r="AL22" s="153">
        <v>1000</v>
      </c>
      <c r="AM22" s="153"/>
      <c r="AN22" s="357">
        <v>57</v>
      </c>
      <c r="AO22" s="358">
        <v>45587.584270833526</v>
      </c>
      <c r="AP22" s="362">
        <v>31685</v>
      </c>
      <c r="AQ22" s="359"/>
      <c r="AR22" s="357">
        <v>79</v>
      </c>
      <c r="AS22" s="366" t="s">
        <v>466</v>
      </c>
      <c r="AT22" s="367">
        <v>4000</v>
      </c>
      <c r="AU22" s="153"/>
      <c r="AV22" s="153"/>
      <c r="AW22" s="359"/>
      <c r="AX22" s="153">
        <v>80</v>
      </c>
      <c r="AY22" s="153" t="s">
        <v>475</v>
      </c>
      <c r="AZ22" s="372">
        <v>500</v>
      </c>
      <c r="BA22" s="153"/>
    </row>
    <row r="23" spans="1:53" s="137" customFormat="1" x14ac:dyDescent="0.3">
      <c r="A23" s="71"/>
      <c r="B23" s="135"/>
      <c r="C23" s="136"/>
      <c r="E23" s="154">
        <v>91</v>
      </c>
      <c r="F23" s="153" t="s">
        <v>336</v>
      </c>
      <c r="G23" s="153">
        <v>6000</v>
      </c>
      <c r="H23" s="153"/>
      <c r="I23" s="153"/>
      <c r="J23" s="154">
        <v>57</v>
      </c>
      <c r="K23" s="153" t="s">
        <v>355</v>
      </c>
      <c r="L23" s="153">
        <v>3000</v>
      </c>
      <c r="M23" s="153"/>
      <c r="N23" s="157"/>
      <c r="O23" s="159">
        <v>74</v>
      </c>
      <c r="P23" s="153" t="s">
        <v>374</v>
      </c>
      <c r="Q23" s="153">
        <v>4600</v>
      </c>
      <c r="R23" s="153"/>
      <c r="S23" s="153"/>
      <c r="T23" s="163">
        <v>40</v>
      </c>
      <c r="U23" s="160">
        <v>45419</v>
      </c>
      <c r="V23" s="167">
        <v>4200</v>
      </c>
      <c r="W23" s="159">
        <v>31</v>
      </c>
      <c r="X23" s="153" t="s">
        <v>399</v>
      </c>
      <c r="Y23" s="153">
        <v>1709</v>
      </c>
      <c r="Z23" s="153"/>
      <c r="AA23" s="153"/>
      <c r="AB23" s="153"/>
      <c r="AC23" s="159">
        <v>44</v>
      </c>
      <c r="AD23" s="93" t="s">
        <v>412</v>
      </c>
      <c r="AE23" s="153"/>
      <c r="AF23" s="153">
        <v>6000</v>
      </c>
      <c r="AG23" s="137">
        <v>82</v>
      </c>
      <c r="AH23" s="137" t="s">
        <v>425</v>
      </c>
      <c r="AI23" s="137">
        <v>1560</v>
      </c>
      <c r="AJ23" s="153">
        <v>43</v>
      </c>
      <c r="AK23" s="153" t="s">
        <v>438</v>
      </c>
      <c r="AL23" s="153">
        <v>1000</v>
      </c>
      <c r="AM23" s="153"/>
      <c r="AN23" s="357">
        <v>61</v>
      </c>
      <c r="AO23" s="358">
        <v>45577</v>
      </c>
      <c r="AP23" s="362">
        <v>917</v>
      </c>
      <c r="AQ23" s="359"/>
      <c r="AR23" s="357">
        <v>80</v>
      </c>
      <c r="AS23" s="366" t="s">
        <v>465</v>
      </c>
      <c r="AT23" s="367">
        <v>1667</v>
      </c>
      <c r="AU23" s="153"/>
      <c r="AV23" s="153"/>
      <c r="AW23" s="359"/>
      <c r="AX23" s="153">
        <v>80</v>
      </c>
      <c r="AY23" s="153" t="s">
        <v>482</v>
      </c>
      <c r="AZ23" s="372">
        <v>500</v>
      </c>
      <c r="BA23" s="153"/>
    </row>
    <row r="24" spans="1:53" s="137" customFormat="1" x14ac:dyDescent="0.3">
      <c r="A24" s="71"/>
      <c r="B24" s="135"/>
      <c r="C24" s="136"/>
      <c r="E24" s="154">
        <v>93</v>
      </c>
      <c r="F24" s="153" t="s">
        <v>337</v>
      </c>
      <c r="G24" s="153">
        <v>20700</v>
      </c>
      <c r="H24" s="153"/>
      <c r="I24" s="153"/>
      <c r="J24" s="154">
        <v>71</v>
      </c>
      <c r="K24" s="153" t="s">
        <v>356</v>
      </c>
      <c r="L24" s="153">
        <v>2000</v>
      </c>
      <c r="M24" s="153"/>
      <c r="N24" s="157"/>
      <c r="O24" s="159">
        <v>78</v>
      </c>
      <c r="P24" s="153" t="s">
        <v>375</v>
      </c>
      <c r="Q24" s="153">
        <v>1000</v>
      </c>
      <c r="R24" s="153"/>
      <c r="S24" s="153"/>
      <c r="T24" s="163">
        <v>41</v>
      </c>
      <c r="U24" s="160">
        <v>45419</v>
      </c>
      <c r="V24" s="167">
        <v>2700</v>
      </c>
      <c r="W24" s="159">
        <v>31</v>
      </c>
      <c r="X24" s="153" t="s">
        <v>399</v>
      </c>
      <c r="Y24" s="153">
        <v>2000</v>
      </c>
      <c r="Z24" s="153"/>
      <c r="AA24" s="153"/>
      <c r="AB24" s="153"/>
      <c r="AC24" s="159">
        <v>46</v>
      </c>
      <c r="AD24" s="93" t="s">
        <v>413</v>
      </c>
      <c r="AE24" s="153">
        <v>6000</v>
      </c>
      <c r="AF24" s="153"/>
      <c r="AG24" s="137">
        <v>89</v>
      </c>
      <c r="AH24" s="137" t="s">
        <v>428</v>
      </c>
      <c r="AI24" s="137">
        <v>6000</v>
      </c>
      <c r="AJ24" s="153">
        <v>44</v>
      </c>
      <c r="AK24" s="153" t="s">
        <v>444</v>
      </c>
      <c r="AL24" s="153"/>
      <c r="AM24" s="153">
        <v>20000</v>
      </c>
      <c r="AN24" s="357">
        <v>62</v>
      </c>
      <c r="AO24" s="358">
        <v>45566</v>
      </c>
      <c r="AP24" s="362">
        <v>2800</v>
      </c>
      <c r="AQ24" s="359"/>
      <c r="AR24" s="357">
        <v>81</v>
      </c>
      <c r="AS24" s="366" t="s">
        <v>466</v>
      </c>
      <c r="AT24" s="367">
        <v>5500</v>
      </c>
      <c r="AU24" s="153"/>
      <c r="AV24" s="153"/>
      <c r="AW24" s="359"/>
      <c r="AX24" s="153">
        <v>80</v>
      </c>
      <c r="AY24" s="153" t="s">
        <v>482</v>
      </c>
      <c r="AZ24" s="375">
        <v>1000</v>
      </c>
      <c r="BA24" s="153"/>
    </row>
    <row r="25" spans="1:53" s="137" customFormat="1" x14ac:dyDescent="0.3">
      <c r="A25" s="71"/>
      <c r="B25" s="135"/>
      <c r="C25" s="136"/>
      <c r="E25" s="154" t="s">
        <v>325</v>
      </c>
      <c r="F25" s="153" t="s">
        <v>344</v>
      </c>
      <c r="G25" s="153">
        <v>6900</v>
      </c>
      <c r="H25" s="153"/>
      <c r="I25" s="153"/>
      <c r="J25" s="154">
        <v>73</v>
      </c>
      <c r="K25" s="153" t="s">
        <v>357</v>
      </c>
      <c r="L25" s="153">
        <v>2400</v>
      </c>
      <c r="M25" s="153"/>
      <c r="N25" s="157"/>
      <c r="O25" s="159">
        <v>78</v>
      </c>
      <c r="P25" s="153" t="s">
        <v>375</v>
      </c>
      <c r="Q25" s="153">
        <v>1000</v>
      </c>
      <c r="R25" s="153"/>
      <c r="S25" s="153"/>
      <c r="T25" s="163">
        <v>49</v>
      </c>
      <c r="U25" s="160">
        <v>45419</v>
      </c>
      <c r="V25" s="167">
        <v>4700</v>
      </c>
      <c r="W25" s="159">
        <v>31</v>
      </c>
      <c r="X25" s="153" t="s">
        <v>390</v>
      </c>
      <c r="Y25" s="153">
        <v>2000</v>
      </c>
      <c r="Z25" s="153"/>
      <c r="AA25" s="153"/>
      <c r="AB25" s="153"/>
      <c r="AC25" s="159">
        <v>46</v>
      </c>
      <c r="AD25" s="153" t="s">
        <v>413</v>
      </c>
      <c r="AE25" s="153">
        <v>5000</v>
      </c>
      <c r="AF25" s="153"/>
      <c r="AG25" s="137">
        <v>89</v>
      </c>
      <c r="AH25" s="137" t="s">
        <v>429</v>
      </c>
      <c r="AI25" s="137">
        <v>6000</v>
      </c>
      <c r="AJ25" s="153">
        <v>48</v>
      </c>
      <c r="AK25" s="153" t="s">
        <v>447</v>
      </c>
      <c r="AL25" s="153">
        <v>11700</v>
      </c>
      <c r="AM25" s="153"/>
      <c r="AN25" s="357">
        <v>62</v>
      </c>
      <c r="AO25" s="358">
        <v>45575</v>
      </c>
      <c r="AP25" s="362">
        <v>900</v>
      </c>
      <c r="AQ25" s="359"/>
      <c r="AR25" s="357">
        <v>88</v>
      </c>
      <c r="AS25" s="366" t="s">
        <v>468</v>
      </c>
      <c r="AT25" s="367">
        <v>11000</v>
      </c>
      <c r="AU25" s="153"/>
      <c r="AV25" s="153"/>
      <c r="AW25" s="359"/>
      <c r="AX25" s="153">
        <v>87</v>
      </c>
      <c r="AY25" s="153" t="s">
        <v>476</v>
      </c>
      <c r="AZ25" s="372">
        <v>1833</v>
      </c>
      <c r="BA25" s="153"/>
    </row>
    <row r="26" spans="1:53" s="137" customFormat="1" x14ac:dyDescent="0.3">
      <c r="A26" s="71"/>
      <c r="B26" s="135"/>
      <c r="C26" s="136"/>
      <c r="E26" s="154" t="s">
        <v>326</v>
      </c>
      <c r="F26" s="153" t="s">
        <v>335</v>
      </c>
      <c r="G26" s="153">
        <v>12000</v>
      </c>
      <c r="H26" s="153"/>
      <c r="I26" s="153"/>
      <c r="J26" s="154">
        <v>73</v>
      </c>
      <c r="K26" s="153" t="s">
        <v>357</v>
      </c>
      <c r="L26" s="153">
        <v>3500</v>
      </c>
      <c r="M26" s="153"/>
      <c r="N26" s="157"/>
      <c r="O26" s="159">
        <v>80</v>
      </c>
      <c r="P26" s="153" t="s">
        <v>371</v>
      </c>
      <c r="Q26" s="153">
        <v>2000</v>
      </c>
      <c r="R26" s="153"/>
      <c r="S26" s="153"/>
      <c r="T26" s="163">
        <v>50</v>
      </c>
      <c r="U26" s="160">
        <v>45425</v>
      </c>
      <c r="V26" s="167">
        <v>9200</v>
      </c>
      <c r="W26" s="159">
        <v>31</v>
      </c>
      <c r="X26" s="153" t="s">
        <v>390</v>
      </c>
      <c r="Y26" s="153">
        <v>2750</v>
      </c>
      <c r="Z26" s="153"/>
      <c r="AA26" s="153"/>
      <c r="AB26" s="153"/>
      <c r="AC26" s="159">
        <v>47</v>
      </c>
      <c r="AD26" s="93" t="s">
        <v>414</v>
      </c>
      <c r="AE26" s="153">
        <v>700</v>
      </c>
      <c r="AF26" s="153"/>
      <c r="AG26" s="137">
        <v>97</v>
      </c>
      <c r="AH26" s="137" t="s">
        <v>430</v>
      </c>
      <c r="AI26" s="137">
        <v>1000</v>
      </c>
      <c r="AJ26" s="153">
        <v>53</v>
      </c>
      <c r="AK26" s="153" t="s">
        <v>438</v>
      </c>
      <c r="AL26" s="153">
        <v>917</v>
      </c>
      <c r="AM26" s="153"/>
      <c r="AN26" s="357">
        <v>62</v>
      </c>
      <c r="AO26" s="358">
        <v>45575</v>
      </c>
      <c r="AP26" s="362">
        <v>6000</v>
      </c>
      <c r="AQ26" s="359"/>
      <c r="AR26" s="357">
        <v>90</v>
      </c>
      <c r="AS26" s="366" t="s">
        <v>469</v>
      </c>
      <c r="AT26" s="367">
        <v>2750</v>
      </c>
      <c r="AU26" s="153"/>
      <c r="AV26" s="153"/>
      <c r="AW26" s="359"/>
      <c r="AX26" s="153">
        <v>112</v>
      </c>
      <c r="AY26" s="153" t="s">
        <v>478</v>
      </c>
      <c r="AZ26" s="372">
        <f>1500+917</f>
        <v>2417</v>
      </c>
      <c r="BA26" s="153"/>
    </row>
    <row r="27" spans="1:53" s="137" customFormat="1" x14ac:dyDescent="0.3">
      <c r="A27" s="71"/>
      <c r="B27" s="135"/>
      <c r="C27" s="136"/>
      <c r="E27" s="154">
        <v>107</v>
      </c>
      <c r="F27" s="153" t="s">
        <v>329</v>
      </c>
      <c r="G27" s="153">
        <v>6000</v>
      </c>
      <c r="H27" s="153"/>
      <c r="I27" s="153"/>
      <c r="J27" s="154">
        <v>79</v>
      </c>
      <c r="K27" s="153" t="s">
        <v>347</v>
      </c>
      <c r="L27" s="153">
        <v>10000</v>
      </c>
      <c r="M27" s="153"/>
      <c r="N27" s="157"/>
      <c r="O27" s="159">
        <v>80</v>
      </c>
      <c r="P27" s="153" t="s">
        <v>376</v>
      </c>
      <c r="Q27" s="153">
        <v>2000</v>
      </c>
      <c r="R27" s="153"/>
      <c r="S27" s="153"/>
      <c r="T27" s="163">
        <v>57</v>
      </c>
      <c r="U27" s="160">
        <v>45433</v>
      </c>
      <c r="V27" s="167">
        <v>3000</v>
      </c>
      <c r="W27" s="159">
        <v>38</v>
      </c>
      <c r="X27" s="153" t="s">
        <v>392</v>
      </c>
      <c r="Y27" s="153">
        <v>1700</v>
      </c>
      <c r="Z27" s="153"/>
      <c r="AA27" s="153"/>
      <c r="AB27" s="153"/>
      <c r="AC27" s="159">
        <v>47</v>
      </c>
      <c r="AD27" s="93" t="s">
        <v>414</v>
      </c>
      <c r="AE27" s="153">
        <v>11000</v>
      </c>
      <c r="AF27" s="153"/>
      <c r="AG27" s="137">
        <v>97</v>
      </c>
      <c r="AH27" s="137" t="s">
        <v>430</v>
      </c>
      <c r="AI27" s="137">
        <v>5500</v>
      </c>
      <c r="AJ27" s="153">
        <v>54</v>
      </c>
      <c r="AK27" s="153" t="s">
        <v>448</v>
      </c>
      <c r="AL27" s="153">
        <v>2750</v>
      </c>
      <c r="AM27" s="153"/>
      <c r="AN27" s="357">
        <v>71</v>
      </c>
      <c r="AO27" s="358">
        <v>45575</v>
      </c>
      <c r="AP27" s="362">
        <v>2750</v>
      </c>
      <c r="AQ27" s="359"/>
      <c r="AR27" s="357">
        <v>91</v>
      </c>
      <c r="AS27" s="366" t="s">
        <v>469</v>
      </c>
      <c r="AT27" s="367">
        <v>2750</v>
      </c>
      <c r="AU27" s="153"/>
      <c r="AV27" s="153"/>
      <c r="AW27" s="359"/>
      <c r="AX27" s="153">
        <v>117</v>
      </c>
      <c r="AY27" s="153" t="s">
        <v>476</v>
      </c>
      <c r="AZ27" s="372">
        <v>1000</v>
      </c>
      <c r="BA27" s="153"/>
    </row>
    <row r="28" spans="1:53" s="137" customFormat="1" x14ac:dyDescent="0.3">
      <c r="A28" s="71"/>
      <c r="B28" s="135"/>
      <c r="C28" s="136"/>
      <c r="E28" s="154">
        <v>107</v>
      </c>
      <c r="F28" s="153" t="s">
        <v>329</v>
      </c>
      <c r="G28" s="153">
        <v>6200</v>
      </c>
      <c r="H28" s="153"/>
      <c r="I28" s="153"/>
      <c r="J28" s="154">
        <v>80</v>
      </c>
      <c r="K28" s="153" t="s">
        <v>358</v>
      </c>
      <c r="L28" s="153">
        <v>1000</v>
      </c>
      <c r="M28" s="153"/>
      <c r="N28" s="157"/>
      <c r="O28" s="159">
        <v>87</v>
      </c>
      <c r="P28" s="153" t="s">
        <v>373</v>
      </c>
      <c r="Q28" s="153">
        <v>4250</v>
      </c>
      <c r="R28" s="153"/>
      <c r="S28" s="153"/>
      <c r="T28" s="163">
        <v>64</v>
      </c>
      <c r="U28" s="160">
        <v>45420</v>
      </c>
      <c r="V28" s="167">
        <v>3000</v>
      </c>
      <c r="W28" s="159">
        <v>41</v>
      </c>
      <c r="X28" s="153" t="s">
        <v>400</v>
      </c>
      <c r="Y28" s="153">
        <v>1000</v>
      </c>
      <c r="Z28" s="153"/>
      <c r="AA28" s="153"/>
      <c r="AB28" s="153"/>
      <c r="AC28" s="159">
        <v>56</v>
      </c>
      <c r="AD28" s="160">
        <v>45474</v>
      </c>
      <c r="AE28" s="153">
        <v>1000</v>
      </c>
      <c r="AF28" s="153"/>
      <c r="AG28" s="137">
        <v>98</v>
      </c>
      <c r="AH28" s="137" t="s">
        <v>418</v>
      </c>
      <c r="AI28" s="137">
        <v>8909</v>
      </c>
      <c r="AJ28" s="153">
        <v>54</v>
      </c>
      <c r="AK28" s="153" t="s">
        <v>448</v>
      </c>
      <c r="AL28" s="153">
        <v>2750</v>
      </c>
      <c r="AM28" s="153"/>
      <c r="AN28" s="357">
        <v>73</v>
      </c>
      <c r="AO28" s="358">
        <v>45575</v>
      </c>
      <c r="AP28" s="362">
        <v>4000</v>
      </c>
      <c r="AQ28" s="359"/>
      <c r="AR28" s="357">
        <v>92</v>
      </c>
      <c r="AS28" s="366" t="s">
        <v>469</v>
      </c>
      <c r="AT28" s="367">
        <v>2750</v>
      </c>
      <c r="AU28" s="153"/>
      <c r="AV28" s="153"/>
      <c r="AW28" s="359"/>
      <c r="AX28" s="153">
        <v>123</v>
      </c>
      <c r="AY28" s="153" t="s">
        <v>485</v>
      </c>
      <c r="AZ28" s="372">
        <v>6000</v>
      </c>
      <c r="BA28" s="153"/>
    </row>
    <row r="29" spans="1:53" s="137" customFormat="1" x14ac:dyDescent="0.3">
      <c r="A29" s="71"/>
      <c r="B29" s="135"/>
      <c r="C29" s="136"/>
      <c r="E29" s="154">
        <v>112</v>
      </c>
      <c r="F29" s="153" t="s">
        <v>338</v>
      </c>
      <c r="G29" s="153">
        <v>2000</v>
      </c>
      <c r="H29" s="153"/>
      <c r="I29" s="153"/>
      <c r="J29" s="154">
        <v>80</v>
      </c>
      <c r="K29" s="153" t="s">
        <v>358</v>
      </c>
      <c r="L29" s="153">
        <v>1500</v>
      </c>
      <c r="M29" s="153"/>
      <c r="N29" s="157"/>
      <c r="O29" s="159">
        <v>100</v>
      </c>
      <c r="P29" s="153" t="s">
        <v>368</v>
      </c>
      <c r="Q29" s="153">
        <v>9000</v>
      </c>
      <c r="R29" s="153"/>
      <c r="S29" s="153"/>
      <c r="T29" s="163">
        <v>66</v>
      </c>
      <c r="U29" s="160">
        <v>45414</v>
      </c>
      <c r="V29" s="167">
        <v>20900</v>
      </c>
      <c r="W29" s="159">
        <v>44</v>
      </c>
      <c r="X29" s="153" t="s">
        <v>396</v>
      </c>
      <c r="Y29" s="153"/>
      <c r="Z29" s="153"/>
      <c r="AA29" s="153"/>
      <c r="AB29" s="153">
        <v>19000</v>
      </c>
      <c r="AC29" s="159">
        <v>56</v>
      </c>
      <c r="AD29" s="160">
        <v>45474</v>
      </c>
      <c r="AE29" s="153">
        <v>1200</v>
      </c>
      <c r="AF29" s="153"/>
      <c r="AG29" s="137">
        <v>99</v>
      </c>
      <c r="AH29" s="137" t="s">
        <v>418</v>
      </c>
      <c r="AI29" s="137">
        <v>8909</v>
      </c>
      <c r="AJ29" s="153">
        <v>56</v>
      </c>
      <c r="AK29" s="153" t="s">
        <v>448</v>
      </c>
      <c r="AL29" s="153">
        <v>5000</v>
      </c>
      <c r="AM29" s="153"/>
      <c r="AN29" s="357">
        <v>75</v>
      </c>
      <c r="AO29" s="358">
        <v>45569</v>
      </c>
      <c r="AP29" s="362">
        <v>32500</v>
      </c>
      <c r="AQ29" s="359"/>
      <c r="AR29" s="357">
        <v>95</v>
      </c>
      <c r="AS29" s="366" t="s">
        <v>469</v>
      </c>
      <c r="AT29" s="367">
        <v>4000</v>
      </c>
      <c r="AU29" s="153"/>
      <c r="AV29" s="153"/>
      <c r="AW29" s="359"/>
      <c r="AX29" s="153">
        <v>130</v>
      </c>
      <c r="AY29" s="153" t="s">
        <v>479</v>
      </c>
      <c r="AZ29" s="372">
        <v>5830</v>
      </c>
      <c r="BA29" s="153"/>
    </row>
    <row r="30" spans="1:53" s="137" customFormat="1" x14ac:dyDescent="0.3">
      <c r="A30" s="71"/>
      <c r="B30" s="135"/>
      <c r="C30" s="136"/>
      <c r="E30" s="154">
        <v>116</v>
      </c>
      <c r="F30" s="153" t="s">
        <v>334</v>
      </c>
      <c r="G30" s="153">
        <v>11686.18</v>
      </c>
      <c r="H30" s="153">
        <v>661.36</v>
      </c>
      <c r="I30" s="153">
        <v>9624</v>
      </c>
      <c r="J30" s="154">
        <v>97</v>
      </c>
      <c r="K30" s="153" t="s">
        <v>356</v>
      </c>
      <c r="L30" s="153">
        <v>9200</v>
      </c>
      <c r="M30" s="153"/>
      <c r="N30" s="157"/>
      <c r="O30" s="159">
        <v>100</v>
      </c>
      <c r="P30" s="153" t="s">
        <v>377</v>
      </c>
      <c r="Q30" s="153">
        <v>5000</v>
      </c>
      <c r="R30" s="153"/>
      <c r="S30" s="153"/>
      <c r="T30" s="163">
        <v>71</v>
      </c>
      <c r="U30" s="160">
        <v>45416</v>
      </c>
      <c r="V30" s="167">
        <v>2800</v>
      </c>
      <c r="W30" s="159">
        <v>51</v>
      </c>
      <c r="X30" s="153" t="s">
        <v>397</v>
      </c>
      <c r="Y30" s="153">
        <v>4000</v>
      </c>
      <c r="Z30" s="153"/>
      <c r="AA30" s="153"/>
      <c r="AB30" s="153"/>
      <c r="AC30" s="159">
        <v>60</v>
      </c>
      <c r="AD30" s="160">
        <v>45475</v>
      </c>
      <c r="AE30" s="153">
        <v>3000</v>
      </c>
      <c r="AF30" s="153"/>
      <c r="AG30" s="137">
        <v>103</v>
      </c>
      <c r="AH30" s="137" t="s">
        <v>431</v>
      </c>
      <c r="AI30" s="137">
        <v>11000</v>
      </c>
      <c r="AJ30" s="153">
        <v>56</v>
      </c>
      <c r="AK30" s="153" t="s">
        <v>448</v>
      </c>
      <c r="AL30" s="153">
        <v>8000</v>
      </c>
      <c r="AM30" s="153"/>
      <c r="AN30" s="357">
        <v>78</v>
      </c>
      <c r="AO30" s="358">
        <v>45586.522928240709</v>
      </c>
      <c r="AP30" s="362">
        <v>1200</v>
      </c>
      <c r="AQ30" s="359"/>
      <c r="AR30" s="357">
        <v>96</v>
      </c>
      <c r="AS30" s="366" t="s">
        <v>469</v>
      </c>
      <c r="AT30" s="367">
        <v>500</v>
      </c>
      <c r="AU30" s="153"/>
      <c r="AV30" s="153"/>
      <c r="AW30" s="359"/>
      <c r="AX30" s="153">
        <v>133</v>
      </c>
      <c r="AY30" s="153" t="s">
        <v>486</v>
      </c>
      <c r="AZ30" s="376">
        <v>16300</v>
      </c>
      <c r="BA30" s="153"/>
    </row>
    <row r="31" spans="1:53" s="137" customFormat="1" x14ac:dyDescent="0.3">
      <c r="A31" s="71"/>
      <c r="B31" s="135"/>
      <c r="C31" s="136"/>
      <c r="E31" s="154">
        <v>117</v>
      </c>
      <c r="F31" s="153" t="s">
        <v>335</v>
      </c>
      <c r="G31" s="153">
        <v>1000</v>
      </c>
      <c r="H31" s="153"/>
      <c r="I31" s="153"/>
      <c r="J31" s="154">
        <v>112</v>
      </c>
      <c r="K31" s="153" t="s">
        <v>359</v>
      </c>
      <c r="L31" s="153">
        <v>2000</v>
      </c>
      <c r="M31" s="153"/>
      <c r="N31" s="157"/>
      <c r="O31" s="159">
        <v>112</v>
      </c>
      <c r="P31" s="153" t="s">
        <v>374</v>
      </c>
      <c r="Q31" s="153">
        <v>2000</v>
      </c>
      <c r="R31" s="153"/>
      <c r="S31" s="153"/>
      <c r="T31" s="163">
        <v>77</v>
      </c>
      <c r="U31" s="160">
        <v>45420</v>
      </c>
      <c r="V31" s="167">
        <v>4600</v>
      </c>
      <c r="W31" s="159">
        <v>55</v>
      </c>
      <c r="X31" s="153" t="s">
        <v>397</v>
      </c>
      <c r="Y31" s="153">
        <v>350</v>
      </c>
      <c r="Z31" s="153"/>
      <c r="AA31" s="153"/>
      <c r="AB31" s="153"/>
      <c r="AC31" s="159">
        <v>65</v>
      </c>
      <c r="AD31" s="160">
        <v>45476</v>
      </c>
      <c r="AE31" s="153">
        <v>29117</v>
      </c>
      <c r="AF31" s="153"/>
      <c r="AG31" s="153">
        <v>104</v>
      </c>
      <c r="AH31" s="153" t="s">
        <v>432</v>
      </c>
      <c r="AI31" s="157">
        <v>15500</v>
      </c>
      <c r="AJ31" s="153">
        <v>57</v>
      </c>
      <c r="AK31" s="153" t="s">
        <v>447</v>
      </c>
      <c r="AL31" s="153">
        <v>3000</v>
      </c>
      <c r="AM31" s="153"/>
      <c r="AN31" s="357">
        <v>80</v>
      </c>
      <c r="AO31" s="358">
        <v>45566</v>
      </c>
      <c r="AP31" s="362">
        <v>500</v>
      </c>
      <c r="AQ31" s="359"/>
      <c r="AR31" s="357">
        <v>100</v>
      </c>
      <c r="AS31" s="366" t="s">
        <v>470</v>
      </c>
      <c r="AT31" s="367">
        <v>5000</v>
      </c>
      <c r="AU31" s="153"/>
      <c r="AV31" s="153"/>
      <c r="AW31" s="359"/>
      <c r="AX31" s="153">
        <v>134</v>
      </c>
      <c r="AY31" s="153" t="s">
        <v>485</v>
      </c>
      <c r="AZ31" s="372">
        <v>6000</v>
      </c>
      <c r="BA31" s="153"/>
    </row>
    <row r="32" spans="1:53" s="137" customFormat="1" x14ac:dyDescent="0.3">
      <c r="A32" s="71"/>
      <c r="B32" s="135"/>
      <c r="C32" s="136"/>
      <c r="E32" s="154">
        <v>119</v>
      </c>
      <c r="F32" s="153" t="s">
        <v>339</v>
      </c>
      <c r="G32" s="153">
        <v>24250</v>
      </c>
      <c r="H32" s="153">
        <v>575.01</v>
      </c>
      <c r="I32" s="153">
        <v>7417.65</v>
      </c>
      <c r="J32" s="154">
        <v>115</v>
      </c>
      <c r="K32" s="153" t="s">
        <v>349</v>
      </c>
      <c r="L32" s="153">
        <v>26900</v>
      </c>
      <c r="M32" s="153">
        <v>664.3</v>
      </c>
      <c r="N32" s="157">
        <v>10720.2</v>
      </c>
      <c r="O32" s="159">
        <v>117</v>
      </c>
      <c r="P32" s="153" t="s">
        <v>366</v>
      </c>
      <c r="Q32" s="153">
        <v>1000</v>
      </c>
      <c r="R32" s="153"/>
      <c r="S32" s="153"/>
      <c r="T32" s="163">
        <v>81</v>
      </c>
      <c r="U32" s="160">
        <v>45426</v>
      </c>
      <c r="V32" s="167">
        <v>4950</v>
      </c>
      <c r="W32" s="159">
        <v>55</v>
      </c>
      <c r="X32" s="153" t="s">
        <v>397</v>
      </c>
      <c r="Y32" s="153">
        <v>4600</v>
      </c>
      <c r="Z32" s="153"/>
      <c r="AA32" s="153"/>
      <c r="AB32" s="153"/>
      <c r="AC32" s="159">
        <v>71</v>
      </c>
      <c r="AD32" s="160">
        <v>45475</v>
      </c>
      <c r="AE32" s="153">
        <v>2750</v>
      </c>
      <c r="AF32" s="153"/>
      <c r="AG32" s="153">
        <v>113</v>
      </c>
      <c r="AH32" s="153" t="s">
        <v>432</v>
      </c>
      <c r="AI32" s="157">
        <v>11000</v>
      </c>
      <c r="AJ32" s="153">
        <v>58</v>
      </c>
      <c r="AK32" s="153" t="s">
        <v>444</v>
      </c>
      <c r="AL32" s="153">
        <v>3800</v>
      </c>
      <c r="AM32" s="153"/>
      <c r="AN32" s="357">
        <v>80</v>
      </c>
      <c r="AO32" s="358">
        <v>45566</v>
      </c>
      <c r="AP32" s="362">
        <v>1000</v>
      </c>
      <c r="AQ32" s="359"/>
      <c r="AR32" s="357">
        <v>105</v>
      </c>
      <c r="AS32" s="366" t="s">
        <v>464</v>
      </c>
      <c r="AT32" s="367">
        <v>11000</v>
      </c>
      <c r="AU32" s="153"/>
      <c r="AV32" s="153"/>
      <c r="AW32" s="359"/>
      <c r="AX32" s="153">
        <v>136</v>
      </c>
      <c r="AY32" s="153" t="s">
        <v>476</v>
      </c>
      <c r="AZ32" s="374">
        <v>5000</v>
      </c>
      <c r="BA32" s="153"/>
    </row>
    <row r="33" spans="1:53" s="137" customFormat="1" x14ac:dyDescent="0.3">
      <c r="A33" s="71"/>
      <c r="B33" s="135"/>
      <c r="C33" s="136"/>
      <c r="E33" s="154">
        <v>121</v>
      </c>
      <c r="F33" s="153" t="s">
        <v>337</v>
      </c>
      <c r="G33" s="153">
        <v>6000</v>
      </c>
      <c r="H33" s="153"/>
      <c r="I33" s="153"/>
      <c r="J33" s="154">
        <v>132</v>
      </c>
      <c r="K33" s="153" t="s">
        <v>347</v>
      </c>
      <c r="L33" s="153">
        <v>4000</v>
      </c>
      <c r="M33" s="153"/>
      <c r="N33" s="157"/>
      <c r="O33" s="159">
        <v>135</v>
      </c>
      <c r="P33" s="153" t="s">
        <v>378</v>
      </c>
      <c r="Q33" s="153">
        <v>7019</v>
      </c>
      <c r="R33" s="153"/>
      <c r="S33" s="153"/>
      <c r="T33" s="163">
        <v>95</v>
      </c>
      <c r="U33" s="160">
        <v>45420</v>
      </c>
      <c r="V33" s="167">
        <v>5200</v>
      </c>
      <c r="W33" s="159">
        <v>78</v>
      </c>
      <c r="X33" s="153" t="s">
        <v>401</v>
      </c>
      <c r="Y33" s="153">
        <v>500</v>
      </c>
      <c r="Z33" s="153"/>
      <c r="AA33" s="153"/>
      <c r="AB33" s="153"/>
      <c r="AC33" s="159">
        <v>72</v>
      </c>
      <c r="AD33" s="160">
        <v>45485</v>
      </c>
      <c r="AE33" s="153">
        <v>13074</v>
      </c>
      <c r="AF33" s="153"/>
      <c r="AG33" s="153">
        <v>117</v>
      </c>
      <c r="AH33" s="153" t="s">
        <v>428</v>
      </c>
      <c r="AI33" s="157">
        <v>1000</v>
      </c>
      <c r="AJ33" s="153">
        <v>60</v>
      </c>
      <c r="AK33" s="153" t="s">
        <v>449</v>
      </c>
      <c r="AL33" s="153">
        <v>2800</v>
      </c>
      <c r="AM33" s="153"/>
      <c r="AN33" s="357">
        <v>84</v>
      </c>
      <c r="AO33" s="358">
        <v>45580</v>
      </c>
      <c r="AP33" s="360">
        <v>11000</v>
      </c>
      <c r="AQ33" s="359"/>
      <c r="AR33" s="364">
        <v>117</v>
      </c>
      <c r="AS33" s="366" t="s">
        <v>464</v>
      </c>
      <c r="AT33" s="367">
        <v>1000</v>
      </c>
      <c r="AU33" s="153"/>
      <c r="AV33" s="153"/>
      <c r="AW33" s="359"/>
      <c r="AX33" s="153">
        <v>137</v>
      </c>
      <c r="AY33" s="153" t="s">
        <v>476</v>
      </c>
      <c r="AZ33" s="372">
        <v>5000</v>
      </c>
      <c r="BA33" s="153"/>
    </row>
    <row r="34" spans="1:53" s="137" customFormat="1" x14ac:dyDescent="0.3">
      <c r="A34" s="71"/>
      <c r="B34" s="135"/>
      <c r="C34" s="136"/>
      <c r="E34" s="154">
        <v>123</v>
      </c>
      <c r="F34" s="153" t="s">
        <v>336</v>
      </c>
      <c r="G34" s="153">
        <v>50</v>
      </c>
      <c r="H34" s="153"/>
      <c r="I34" s="153"/>
      <c r="J34" s="154">
        <v>141</v>
      </c>
      <c r="K34" s="153" t="s">
        <v>360</v>
      </c>
      <c r="L34" s="153">
        <v>4600</v>
      </c>
      <c r="M34" s="153"/>
      <c r="N34" s="157"/>
      <c r="O34" s="159">
        <v>140</v>
      </c>
      <c r="P34" s="153" t="s">
        <v>373</v>
      </c>
      <c r="Q34" s="153">
        <v>2000</v>
      </c>
      <c r="R34" s="153"/>
      <c r="S34" s="153"/>
      <c r="T34" s="163">
        <v>96</v>
      </c>
      <c r="U34" s="160">
        <v>45420</v>
      </c>
      <c r="V34" s="167">
        <v>5200</v>
      </c>
      <c r="W34" s="159">
        <v>78</v>
      </c>
      <c r="X34" s="153" t="s">
        <v>401</v>
      </c>
      <c r="Y34" s="153">
        <v>1000</v>
      </c>
      <c r="Z34" s="153"/>
      <c r="AA34" s="153"/>
      <c r="AB34" s="153"/>
      <c r="AC34" s="159">
        <v>73</v>
      </c>
      <c r="AD34" s="160">
        <v>45478</v>
      </c>
      <c r="AE34" s="153">
        <v>4000</v>
      </c>
      <c r="AF34" s="153"/>
      <c r="AG34" s="153">
        <v>120</v>
      </c>
      <c r="AH34" s="153" t="s">
        <v>424</v>
      </c>
      <c r="AI34" s="157">
        <v>4000</v>
      </c>
      <c r="AJ34" s="153">
        <v>61</v>
      </c>
      <c r="AK34" s="153" t="s">
        <v>450</v>
      </c>
      <c r="AL34" s="153">
        <v>25950</v>
      </c>
      <c r="AM34" s="153"/>
      <c r="AN34" s="357">
        <v>85</v>
      </c>
      <c r="AO34" s="358">
        <v>45580</v>
      </c>
      <c r="AP34" s="360">
        <v>11000</v>
      </c>
      <c r="AQ34" s="359"/>
      <c r="AR34" s="357">
        <v>119</v>
      </c>
      <c r="AS34" s="366" t="s">
        <v>458</v>
      </c>
      <c r="AT34" s="367">
        <v>63400</v>
      </c>
      <c r="AU34" s="153">
        <v>3736</v>
      </c>
      <c r="AV34" s="153">
        <v>30000</v>
      </c>
      <c r="AW34" s="359"/>
      <c r="AX34" s="153">
        <v>138</v>
      </c>
      <c r="AY34" s="153" t="s">
        <v>476</v>
      </c>
      <c r="AZ34" s="372">
        <v>5000</v>
      </c>
      <c r="BA34" s="153"/>
    </row>
    <row r="35" spans="1:53" s="137" customFormat="1" x14ac:dyDescent="0.3">
      <c r="A35" s="71"/>
      <c r="B35" s="135"/>
      <c r="C35" s="136"/>
      <c r="E35" s="154">
        <v>124</v>
      </c>
      <c r="F35" s="153" t="s">
        <v>340</v>
      </c>
      <c r="G35" s="153">
        <v>6000</v>
      </c>
      <c r="H35" s="153"/>
      <c r="I35" s="153"/>
      <c r="K35" s="139" t="s">
        <v>173</v>
      </c>
      <c r="L35" s="148">
        <f>SUM(L4:L34)</f>
        <v>130365</v>
      </c>
      <c r="M35" s="148">
        <f t="shared" ref="M35:N35" si="0">SUM(M4:M34)</f>
        <v>664.3</v>
      </c>
      <c r="N35" s="148">
        <f t="shared" si="0"/>
        <v>10720.2</v>
      </c>
      <c r="O35" s="159">
        <v>142</v>
      </c>
      <c r="P35" s="153" t="s">
        <v>378</v>
      </c>
      <c r="Q35" s="153">
        <v>2300</v>
      </c>
      <c r="R35" s="153"/>
      <c r="S35" s="153"/>
      <c r="T35" s="163" t="s">
        <v>386</v>
      </c>
      <c r="U35" s="160">
        <v>45432</v>
      </c>
      <c r="V35" s="167">
        <v>4000</v>
      </c>
      <c r="W35" s="159">
        <v>80</v>
      </c>
      <c r="X35" s="153" t="s">
        <v>399</v>
      </c>
      <c r="Y35" s="153">
        <v>2000</v>
      </c>
      <c r="Z35" s="153"/>
      <c r="AA35" s="153"/>
      <c r="AB35" s="153"/>
      <c r="AC35" s="159">
        <v>80</v>
      </c>
      <c r="AD35" s="160">
        <v>45475</v>
      </c>
      <c r="AE35" s="153">
        <v>2000</v>
      </c>
      <c r="AF35" s="153"/>
      <c r="AG35" s="153">
        <v>120</v>
      </c>
      <c r="AH35" s="153" t="s">
        <v>424</v>
      </c>
      <c r="AI35" s="157">
        <v>5300</v>
      </c>
      <c r="AJ35" s="153">
        <v>68</v>
      </c>
      <c r="AK35" s="153" t="s">
        <v>438</v>
      </c>
      <c r="AL35" s="153">
        <v>1800</v>
      </c>
      <c r="AM35" s="153"/>
      <c r="AN35" s="357">
        <v>87</v>
      </c>
      <c r="AO35" s="358">
        <v>45571</v>
      </c>
      <c r="AP35" s="362">
        <v>917</v>
      </c>
      <c r="AQ35" s="359"/>
      <c r="AR35" s="357">
        <v>142</v>
      </c>
      <c r="AS35" s="366" t="s">
        <v>468</v>
      </c>
      <c r="AT35" s="367">
        <v>3250</v>
      </c>
      <c r="AU35" s="153"/>
      <c r="AV35" s="153"/>
      <c r="AW35" s="359"/>
      <c r="AX35" s="153">
        <v>140</v>
      </c>
      <c r="AY35" s="153" t="s">
        <v>478</v>
      </c>
      <c r="AZ35" s="372">
        <v>2750</v>
      </c>
      <c r="BA35" s="153"/>
    </row>
    <row r="36" spans="1:53" s="137" customFormat="1" x14ac:dyDescent="0.3">
      <c r="A36" s="71"/>
      <c r="B36" s="135"/>
      <c r="C36" s="136"/>
      <c r="E36" s="154">
        <v>125</v>
      </c>
      <c r="F36" s="153" t="s">
        <v>340</v>
      </c>
      <c r="G36" s="153">
        <v>6000</v>
      </c>
      <c r="H36" s="153"/>
      <c r="I36" s="153"/>
      <c r="O36" s="159">
        <v>143</v>
      </c>
      <c r="P36" s="153" t="s">
        <v>378</v>
      </c>
      <c r="Q36" s="153">
        <v>2300</v>
      </c>
      <c r="R36" s="153"/>
      <c r="S36" s="153"/>
      <c r="T36" s="163">
        <v>112</v>
      </c>
      <c r="U36" s="93" t="s">
        <v>384</v>
      </c>
      <c r="V36" s="167">
        <v>1200</v>
      </c>
      <c r="W36" s="159">
        <v>86</v>
      </c>
      <c r="X36" s="153" t="s">
        <v>401</v>
      </c>
      <c r="Y36" s="153">
        <v>11000</v>
      </c>
      <c r="Z36" s="153"/>
      <c r="AA36" s="153"/>
      <c r="AB36" s="153"/>
      <c r="AC36" s="159">
        <v>88</v>
      </c>
      <c r="AD36" s="160">
        <v>45493</v>
      </c>
      <c r="AE36" s="153">
        <v>350</v>
      </c>
      <c r="AF36" s="153"/>
      <c r="AG36" s="153">
        <v>131</v>
      </c>
      <c r="AH36" s="153" t="s">
        <v>432</v>
      </c>
      <c r="AI36" s="157">
        <v>15200</v>
      </c>
      <c r="AJ36" s="153">
        <v>74</v>
      </c>
      <c r="AK36" s="153" t="s">
        <v>448</v>
      </c>
      <c r="AL36" s="153">
        <v>2750</v>
      </c>
      <c r="AM36" s="153"/>
      <c r="AN36" s="357">
        <v>93</v>
      </c>
      <c r="AO36" s="358">
        <v>45568</v>
      </c>
      <c r="AP36" s="362">
        <v>5000</v>
      </c>
      <c r="AQ36" s="359"/>
      <c r="AR36" s="357">
        <v>143</v>
      </c>
      <c r="AS36" s="366" t="s">
        <v>468</v>
      </c>
      <c r="AT36" s="367">
        <v>3250</v>
      </c>
      <c r="AU36" s="153"/>
      <c r="AV36" s="153"/>
      <c r="AW36" s="359"/>
      <c r="AX36" s="153">
        <v>141</v>
      </c>
      <c r="AY36" s="153" t="s">
        <v>478</v>
      </c>
      <c r="AZ36" s="372">
        <v>6000</v>
      </c>
      <c r="BA36" s="153"/>
    </row>
    <row r="37" spans="1:53" s="137" customFormat="1" x14ac:dyDescent="0.3">
      <c r="A37" s="71"/>
      <c r="B37" s="135"/>
      <c r="C37" s="136"/>
      <c r="E37" s="154">
        <v>130</v>
      </c>
      <c r="F37" s="153" t="s">
        <v>329</v>
      </c>
      <c r="G37" s="153">
        <v>6000</v>
      </c>
      <c r="H37" s="153"/>
      <c r="I37" s="153"/>
      <c r="O37" s="159">
        <v>144</v>
      </c>
      <c r="P37" s="153" t="s">
        <v>378</v>
      </c>
      <c r="Q37" s="153">
        <v>2300</v>
      </c>
      <c r="R37" s="153"/>
      <c r="S37" s="153"/>
      <c r="T37" s="163">
        <v>114</v>
      </c>
      <c r="U37" s="93" t="s">
        <v>385</v>
      </c>
      <c r="V37" s="167">
        <v>2366</v>
      </c>
      <c r="W37" s="159">
        <v>106</v>
      </c>
      <c r="X37" s="153" t="s">
        <v>391</v>
      </c>
      <c r="Y37" s="153">
        <v>2000</v>
      </c>
      <c r="Z37" s="153"/>
      <c r="AA37" s="153"/>
      <c r="AB37" s="153"/>
      <c r="AC37" s="159">
        <v>93</v>
      </c>
      <c r="AD37" s="93" t="s">
        <v>415</v>
      </c>
      <c r="AE37" s="153">
        <v>6500</v>
      </c>
      <c r="AF37" s="153"/>
      <c r="AG37" s="153">
        <v>135</v>
      </c>
      <c r="AH37" s="153" t="s">
        <v>433</v>
      </c>
      <c r="AI37" s="157">
        <v>2751</v>
      </c>
      <c r="AJ37" s="153">
        <v>77</v>
      </c>
      <c r="AK37" s="153" t="s">
        <v>438</v>
      </c>
      <c r="AL37" s="153">
        <v>5500</v>
      </c>
      <c r="AM37" s="153"/>
      <c r="AN37" s="357">
        <v>105</v>
      </c>
      <c r="AO37" s="358">
        <v>45569</v>
      </c>
      <c r="AP37" s="362">
        <v>6500</v>
      </c>
      <c r="AQ37" s="359"/>
      <c r="AR37" s="357">
        <v>144</v>
      </c>
      <c r="AS37" s="366" t="s">
        <v>468</v>
      </c>
      <c r="AT37" s="367">
        <v>3250</v>
      </c>
      <c r="AU37" s="153"/>
      <c r="AV37" s="153"/>
      <c r="AW37" s="359"/>
      <c r="AX37" s="153">
        <v>148</v>
      </c>
      <c r="AY37" s="153" t="s">
        <v>475</v>
      </c>
      <c r="AZ37" s="372">
        <f>917+917</f>
        <v>1834</v>
      </c>
      <c r="BA37" s="153"/>
    </row>
    <row r="38" spans="1:53" s="137" customFormat="1" x14ac:dyDescent="0.3">
      <c r="A38" s="71"/>
      <c r="B38" s="135"/>
      <c r="C38" s="136"/>
      <c r="E38" s="154">
        <v>134</v>
      </c>
      <c r="F38" s="153" t="s">
        <v>336</v>
      </c>
      <c r="G38" s="153">
        <v>5050</v>
      </c>
      <c r="H38" s="153"/>
      <c r="I38" s="153"/>
      <c r="O38" s="159">
        <v>145</v>
      </c>
      <c r="P38" s="153" t="s">
        <v>378</v>
      </c>
      <c r="Q38" s="153">
        <v>2300</v>
      </c>
      <c r="R38" s="153"/>
      <c r="S38" s="153"/>
      <c r="T38" s="163">
        <v>146</v>
      </c>
      <c r="U38" s="93" t="s">
        <v>385</v>
      </c>
      <c r="V38" s="167">
        <v>1000</v>
      </c>
      <c r="W38" s="159">
        <v>118</v>
      </c>
      <c r="X38" s="153" t="s">
        <v>395</v>
      </c>
      <c r="Y38" s="153">
        <v>2400</v>
      </c>
      <c r="Z38" s="153"/>
      <c r="AA38" s="153"/>
      <c r="AB38" s="153"/>
      <c r="AC38" s="159">
        <v>106</v>
      </c>
      <c r="AD38" s="160">
        <v>45493</v>
      </c>
      <c r="AE38" s="153">
        <v>2000</v>
      </c>
      <c r="AF38" s="153"/>
      <c r="AG38" s="153">
        <v>146</v>
      </c>
      <c r="AH38" s="153" t="s">
        <v>422</v>
      </c>
      <c r="AI38" s="157">
        <v>5000</v>
      </c>
      <c r="AJ38" s="153">
        <v>78</v>
      </c>
      <c r="AK38" s="153" t="s">
        <v>451</v>
      </c>
      <c r="AL38" s="153">
        <v>500</v>
      </c>
      <c r="AM38" s="153"/>
      <c r="AN38" s="357">
        <v>108</v>
      </c>
      <c r="AO38" s="358">
        <v>45584</v>
      </c>
      <c r="AP38" s="361">
        <v>11000</v>
      </c>
      <c r="AQ38" s="357"/>
      <c r="AR38" s="357">
        <v>145</v>
      </c>
      <c r="AS38" s="366" t="s">
        <v>468</v>
      </c>
      <c r="AT38" s="367">
        <v>3250</v>
      </c>
      <c r="AU38" s="153"/>
      <c r="AV38" s="153"/>
      <c r="AW38" s="357"/>
      <c r="AX38" s="153">
        <v>149</v>
      </c>
      <c r="AY38" s="153" t="s">
        <v>487</v>
      </c>
      <c r="AZ38" s="372">
        <v>5500</v>
      </c>
      <c r="BA38" s="153"/>
    </row>
    <row r="39" spans="1:53" s="137" customFormat="1" x14ac:dyDescent="0.3">
      <c r="A39" s="71"/>
      <c r="B39" s="135"/>
      <c r="C39" s="136"/>
      <c r="E39" s="154">
        <v>148</v>
      </c>
      <c r="F39" s="153" t="s">
        <v>341</v>
      </c>
      <c r="G39" s="153">
        <v>770</v>
      </c>
      <c r="H39" s="153"/>
      <c r="I39" s="153"/>
      <c r="O39" s="159">
        <v>148</v>
      </c>
      <c r="P39" s="153" t="s">
        <v>379</v>
      </c>
      <c r="Q39" s="153">
        <v>6000</v>
      </c>
      <c r="R39" s="153"/>
      <c r="S39" s="153"/>
      <c r="T39" s="163">
        <v>148</v>
      </c>
      <c r="U39" s="160">
        <v>45417</v>
      </c>
      <c r="V39" s="167">
        <v>3080</v>
      </c>
      <c r="W39" s="159">
        <v>121</v>
      </c>
      <c r="X39" s="153" t="s">
        <v>390</v>
      </c>
      <c r="Y39" s="153">
        <v>4600</v>
      </c>
      <c r="Z39" s="153"/>
      <c r="AA39" s="153"/>
      <c r="AB39" s="153"/>
      <c r="AC39" s="159">
        <v>110</v>
      </c>
      <c r="AD39" s="160">
        <v>45490</v>
      </c>
      <c r="AE39" s="153">
        <v>6000</v>
      </c>
      <c r="AF39" s="153"/>
      <c r="AG39" s="153">
        <v>148</v>
      </c>
      <c r="AH39" s="153" t="s">
        <v>417</v>
      </c>
      <c r="AI39" s="157">
        <v>2700</v>
      </c>
      <c r="AJ39" s="153">
        <v>78</v>
      </c>
      <c r="AK39" s="153" t="s">
        <v>451</v>
      </c>
      <c r="AL39" s="153">
        <v>1000</v>
      </c>
      <c r="AM39" s="153"/>
      <c r="AN39" s="357">
        <v>109</v>
      </c>
      <c r="AO39" s="358">
        <v>45580</v>
      </c>
      <c r="AP39" s="360">
        <v>11000</v>
      </c>
      <c r="AQ39" s="359"/>
      <c r="AR39" s="357">
        <v>148</v>
      </c>
      <c r="AS39" s="366" t="s">
        <v>465</v>
      </c>
      <c r="AT39" s="367">
        <v>917</v>
      </c>
      <c r="AU39" s="153"/>
      <c r="AV39" s="153"/>
      <c r="AW39" s="359"/>
      <c r="AX39" s="153">
        <v>157</v>
      </c>
      <c r="AY39" s="153" t="s">
        <v>488</v>
      </c>
      <c r="AZ39" s="373">
        <f>4000+5500</f>
        <v>9500</v>
      </c>
      <c r="BA39" s="153"/>
    </row>
    <row r="40" spans="1:53" s="137" customFormat="1" x14ac:dyDescent="0.3">
      <c r="A40" s="71"/>
      <c r="B40" s="135"/>
      <c r="C40" s="136"/>
      <c r="E40" s="154">
        <v>149</v>
      </c>
      <c r="F40" s="153" t="s">
        <v>340</v>
      </c>
      <c r="G40" s="153">
        <v>6000</v>
      </c>
      <c r="H40" s="153"/>
      <c r="I40" s="153"/>
      <c r="O40" s="159">
        <v>155</v>
      </c>
      <c r="P40" s="153" t="s">
        <v>380</v>
      </c>
      <c r="Q40" s="153">
        <v>8000</v>
      </c>
      <c r="R40" s="153"/>
      <c r="S40" s="153"/>
      <c r="T40" s="163">
        <v>148</v>
      </c>
      <c r="U40" s="93" t="s">
        <v>383</v>
      </c>
      <c r="V40" s="167">
        <v>770</v>
      </c>
      <c r="W40" s="159">
        <v>123</v>
      </c>
      <c r="X40" s="153" t="s">
        <v>396</v>
      </c>
      <c r="Y40" s="153">
        <v>140</v>
      </c>
      <c r="Z40" s="153"/>
      <c r="AA40" s="153"/>
      <c r="AB40" s="153"/>
      <c r="AC40" s="159">
        <v>111</v>
      </c>
      <c r="AD40" s="160">
        <v>45490</v>
      </c>
      <c r="AE40" s="153">
        <v>350</v>
      </c>
      <c r="AF40" s="153"/>
      <c r="AG40" s="153">
        <v>152</v>
      </c>
      <c r="AH40" s="153" t="s">
        <v>422</v>
      </c>
      <c r="AI40" s="157">
        <v>700</v>
      </c>
      <c r="AJ40" s="153">
        <v>80</v>
      </c>
      <c r="AK40" s="153" t="s">
        <v>442</v>
      </c>
      <c r="AL40" s="153">
        <v>2000</v>
      </c>
      <c r="AM40" s="153"/>
      <c r="AN40" s="357">
        <v>112</v>
      </c>
      <c r="AO40" s="358">
        <v>45576</v>
      </c>
      <c r="AP40" s="362">
        <v>2000</v>
      </c>
      <c r="AQ40" s="359"/>
      <c r="AR40" s="357">
        <v>151</v>
      </c>
      <c r="AS40" s="366" t="s">
        <v>466</v>
      </c>
      <c r="AT40" s="367">
        <v>5000</v>
      </c>
      <c r="AU40" s="153"/>
      <c r="AV40" s="153"/>
      <c r="AW40" s="359"/>
      <c r="AX40" s="153">
        <v>158</v>
      </c>
      <c r="AY40" s="153" t="s">
        <v>488</v>
      </c>
      <c r="AZ40" s="373">
        <f>4000+5500</f>
        <v>9500</v>
      </c>
      <c r="BA40" s="153"/>
    </row>
    <row r="41" spans="1:53" s="137" customFormat="1" x14ac:dyDescent="0.3">
      <c r="A41" s="71"/>
      <c r="B41" s="135"/>
      <c r="C41" s="136"/>
      <c r="E41" s="154">
        <v>153</v>
      </c>
      <c r="F41" s="153" t="s">
        <v>340</v>
      </c>
      <c r="G41" s="153">
        <v>6000</v>
      </c>
      <c r="H41" s="153"/>
      <c r="I41" s="153"/>
      <c r="O41" s="159">
        <v>156</v>
      </c>
      <c r="P41" s="153" t="s">
        <v>364</v>
      </c>
      <c r="Q41" s="153"/>
      <c r="R41" s="153"/>
      <c r="S41" s="153">
        <v>15.13</v>
      </c>
      <c r="T41" s="163">
        <v>156</v>
      </c>
      <c r="U41" s="160">
        <v>45424</v>
      </c>
      <c r="V41" s="167">
        <v>3500</v>
      </c>
      <c r="W41" s="159">
        <v>131</v>
      </c>
      <c r="X41" s="153" t="s">
        <v>402</v>
      </c>
      <c r="Y41" s="153">
        <v>5000</v>
      </c>
      <c r="Z41" s="153"/>
      <c r="AA41" s="153"/>
      <c r="AB41" s="153"/>
      <c r="AC41" s="159">
        <v>111</v>
      </c>
      <c r="AD41" s="160">
        <v>45490</v>
      </c>
      <c r="AE41" s="153">
        <v>11000</v>
      </c>
      <c r="AF41" s="153"/>
      <c r="AG41" s="153">
        <v>152</v>
      </c>
      <c r="AH41" s="153" t="s">
        <v>422</v>
      </c>
      <c r="AI41" s="157">
        <v>2750</v>
      </c>
      <c r="AJ41" s="153">
        <v>81</v>
      </c>
      <c r="AK41" s="153" t="s">
        <v>448</v>
      </c>
      <c r="AL41" s="153">
        <v>7250</v>
      </c>
      <c r="AM41" s="153"/>
      <c r="AN41" s="357">
        <v>112</v>
      </c>
      <c r="AO41" s="358">
        <v>45576</v>
      </c>
      <c r="AP41" s="363">
        <v>3000</v>
      </c>
      <c r="AQ41" s="359"/>
      <c r="AR41" s="357">
        <v>151</v>
      </c>
      <c r="AS41" s="366" t="s">
        <v>470</v>
      </c>
      <c r="AT41" s="367">
        <v>6000</v>
      </c>
      <c r="AU41" s="153"/>
      <c r="AV41" s="153"/>
      <c r="AW41" s="359"/>
      <c r="AX41" s="153">
        <v>159</v>
      </c>
      <c r="AY41" s="153" t="s">
        <v>488</v>
      </c>
      <c r="AZ41" s="373">
        <f>4000+5500</f>
        <v>9500</v>
      </c>
      <c r="BA41" s="153"/>
    </row>
    <row r="42" spans="1:53" s="137" customFormat="1" x14ac:dyDescent="0.3">
      <c r="A42" s="71"/>
      <c r="B42" s="135"/>
      <c r="C42" s="136"/>
      <c r="E42" s="154">
        <v>155</v>
      </c>
      <c r="F42" s="153" t="s">
        <v>336</v>
      </c>
      <c r="G42" s="153">
        <v>6000</v>
      </c>
      <c r="H42" s="153"/>
      <c r="I42" s="153"/>
      <c r="O42" s="159">
        <v>156</v>
      </c>
      <c r="P42" s="153" t="s">
        <v>364</v>
      </c>
      <c r="Q42" s="153"/>
      <c r="R42" s="153"/>
      <c r="S42" s="153">
        <v>385.64</v>
      </c>
      <c r="U42" s="161" t="s">
        <v>173</v>
      </c>
      <c r="V42" s="148">
        <f>SUM(V4:V41)</f>
        <v>159512</v>
      </c>
      <c r="W42" s="159">
        <v>134</v>
      </c>
      <c r="X42" s="153" t="s">
        <v>396</v>
      </c>
      <c r="Y42" s="153">
        <v>140</v>
      </c>
      <c r="Z42" s="153"/>
      <c r="AA42" s="153"/>
      <c r="AB42" s="153"/>
      <c r="AC42" s="159">
        <v>117</v>
      </c>
      <c r="AD42" s="160">
        <v>45481</v>
      </c>
      <c r="AE42" s="153">
        <v>1000</v>
      </c>
      <c r="AF42" s="153"/>
      <c r="AG42" s="153">
        <v>160</v>
      </c>
      <c r="AH42" s="153" t="s">
        <v>432</v>
      </c>
      <c r="AI42" s="157">
        <v>11000</v>
      </c>
      <c r="AJ42" s="153">
        <v>83</v>
      </c>
      <c r="AK42" s="153" t="s">
        <v>437</v>
      </c>
      <c r="AL42" s="153">
        <v>11000</v>
      </c>
      <c r="AM42" s="153"/>
      <c r="AN42" s="357">
        <v>117</v>
      </c>
      <c r="AO42" s="358">
        <v>45572</v>
      </c>
      <c r="AP42" s="362">
        <v>1000</v>
      </c>
      <c r="AQ42" s="359"/>
      <c r="AR42" s="357">
        <v>151</v>
      </c>
      <c r="AS42" s="366" t="s">
        <v>462</v>
      </c>
      <c r="AT42" s="367">
        <v>6000</v>
      </c>
      <c r="AU42" s="153"/>
      <c r="AV42" s="153"/>
      <c r="AW42" s="359"/>
      <c r="AX42" s="153"/>
      <c r="AY42" s="153"/>
      <c r="AZ42" s="153"/>
      <c r="BA42" s="153"/>
    </row>
    <row r="43" spans="1:53" s="137" customFormat="1" x14ac:dyDescent="0.3">
      <c r="A43" s="71"/>
      <c r="B43" s="135"/>
      <c r="C43" s="136"/>
      <c r="E43" s="154">
        <v>161</v>
      </c>
      <c r="F43" s="153" t="s">
        <v>331</v>
      </c>
      <c r="G43" s="153">
        <v>5000</v>
      </c>
      <c r="H43" s="153"/>
      <c r="I43" s="153"/>
      <c r="O43" s="159">
        <v>156</v>
      </c>
      <c r="P43" s="153" t="s">
        <v>376</v>
      </c>
      <c r="Q43" s="153">
        <v>25000</v>
      </c>
      <c r="R43" s="153"/>
      <c r="S43" s="153"/>
      <c r="W43" s="159">
        <v>135</v>
      </c>
      <c r="X43" s="153" t="s">
        <v>403</v>
      </c>
      <c r="Y43" s="153">
        <v>767</v>
      </c>
      <c r="Z43" s="153"/>
      <c r="AA43" s="153"/>
      <c r="AB43" s="153"/>
      <c r="AC43" s="159">
        <v>123</v>
      </c>
      <c r="AD43" s="160">
        <v>45485</v>
      </c>
      <c r="AE43" s="153">
        <v>300</v>
      </c>
      <c r="AF43" s="153"/>
      <c r="AG43" s="355" t="s">
        <v>434</v>
      </c>
      <c r="AH43" s="153" t="s">
        <v>431</v>
      </c>
      <c r="AI43" s="157">
        <v>4600</v>
      </c>
      <c r="AJ43" s="153">
        <v>87</v>
      </c>
      <c r="AK43" s="153" t="s">
        <v>438</v>
      </c>
      <c r="AL43" s="153">
        <v>19450</v>
      </c>
      <c r="AM43" s="153"/>
      <c r="AN43" s="357">
        <v>121</v>
      </c>
      <c r="AO43" s="358">
        <v>45596</v>
      </c>
      <c r="AP43" s="362">
        <v>5500</v>
      </c>
      <c r="AQ43" s="359"/>
      <c r="AR43" s="357">
        <v>153</v>
      </c>
      <c r="AS43" s="366" t="s">
        <v>471</v>
      </c>
      <c r="AT43" s="367">
        <v>7010</v>
      </c>
      <c r="AU43" s="153"/>
      <c r="AV43" s="153"/>
      <c r="AW43" s="359"/>
      <c r="AX43" s="153"/>
      <c r="AY43" s="153"/>
      <c r="AZ43" s="153"/>
      <c r="BA43" s="153"/>
    </row>
    <row r="44" spans="1:53" s="137" customFormat="1" x14ac:dyDescent="0.3">
      <c r="A44" s="71"/>
      <c r="B44" s="135"/>
      <c r="C44" s="136"/>
      <c r="E44" s="154">
        <v>162</v>
      </c>
      <c r="F44" s="153" t="s">
        <v>342</v>
      </c>
      <c r="G44" s="153">
        <v>10000</v>
      </c>
      <c r="H44" s="153"/>
      <c r="I44" s="153"/>
      <c r="O44" s="159">
        <v>162</v>
      </c>
      <c r="P44" s="153" t="s">
        <v>371</v>
      </c>
      <c r="Q44" s="153">
        <v>20000</v>
      </c>
      <c r="R44" s="153"/>
      <c r="S44" s="153"/>
      <c r="W44" s="159">
        <v>140</v>
      </c>
      <c r="X44" s="153" t="s">
        <v>403</v>
      </c>
      <c r="Y44" s="153">
        <v>2750</v>
      </c>
      <c r="Z44" s="153"/>
      <c r="AA44" s="153"/>
      <c r="AB44" s="153"/>
      <c r="AC44" s="159">
        <v>128</v>
      </c>
      <c r="AD44" s="93" t="s">
        <v>412</v>
      </c>
      <c r="AE44" s="153">
        <v>11000</v>
      </c>
      <c r="AF44" s="153"/>
      <c r="AG44" s="355" t="s">
        <v>434</v>
      </c>
      <c r="AH44" s="153" t="s">
        <v>431</v>
      </c>
      <c r="AI44" s="157">
        <v>5500</v>
      </c>
      <c r="AJ44" s="153" t="s">
        <v>325</v>
      </c>
      <c r="AK44" s="153" t="s">
        <v>452</v>
      </c>
      <c r="AL44" s="153">
        <v>21700</v>
      </c>
      <c r="AM44" s="153"/>
      <c r="AN44" s="357">
        <v>123</v>
      </c>
      <c r="AO44" s="358">
        <v>45581</v>
      </c>
      <c r="AP44" s="360">
        <v>2000</v>
      </c>
      <c r="AQ44" s="359"/>
      <c r="AR44" s="357"/>
      <c r="AS44" s="358"/>
      <c r="AT44" s="360"/>
      <c r="AU44" s="153"/>
      <c r="AV44" s="153"/>
      <c r="AW44" s="359"/>
      <c r="AX44" s="153"/>
      <c r="AY44" s="153"/>
      <c r="AZ44" s="153"/>
      <c r="BA44" s="153"/>
    </row>
    <row r="45" spans="1:53" s="137" customFormat="1" x14ac:dyDescent="0.3">
      <c r="A45" s="71"/>
      <c r="B45" s="135"/>
      <c r="C45" s="136"/>
      <c r="E45" s="154">
        <v>164</v>
      </c>
      <c r="F45" s="153" t="s">
        <v>343</v>
      </c>
      <c r="G45" s="153">
        <v>6000</v>
      </c>
      <c r="H45" s="153"/>
      <c r="I45" s="153"/>
      <c r="O45" s="159" t="s">
        <v>325</v>
      </c>
      <c r="P45" s="153" t="s">
        <v>381</v>
      </c>
      <c r="Q45" s="153">
        <v>6900</v>
      </c>
      <c r="R45" s="153"/>
      <c r="S45" s="153"/>
      <c r="W45" s="159">
        <v>141</v>
      </c>
      <c r="X45" s="153" t="s">
        <v>393</v>
      </c>
      <c r="Y45" s="153">
        <v>4300</v>
      </c>
      <c r="Z45" s="153"/>
      <c r="AA45" s="153"/>
      <c r="AB45" s="153"/>
      <c r="AC45" s="159">
        <v>129</v>
      </c>
      <c r="AD45" s="93" t="s">
        <v>412</v>
      </c>
      <c r="AE45" s="153">
        <v>11000</v>
      </c>
      <c r="AF45" s="153"/>
      <c r="AH45" s="161" t="s">
        <v>173</v>
      </c>
      <c r="AI45" s="137">
        <f>SUM(AI4:AI44)</f>
        <v>190858</v>
      </c>
      <c r="AJ45" s="153">
        <v>95</v>
      </c>
      <c r="AK45" s="153" t="s">
        <v>438</v>
      </c>
      <c r="AL45" s="153">
        <v>5500</v>
      </c>
      <c r="AM45" s="153"/>
      <c r="AN45" s="364">
        <v>130</v>
      </c>
      <c r="AO45" s="358">
        <v>45575</v>
      </c>
      <c r="AP45" s="362">
        <v>3670</v>
      </c>
      <c r="AQ45" s="359"/>
      <c r="AR45" s="364"/>
      <c r="AS45" s="358"/>
      <c r="AT45" s="362"/>
      <c r="AU45" s="153"/>
      <c r="AV45" s="153"/>
      <c r="AW45" s="359"/>
      <c r="AX45" s="153"/>
      <c r="AY45" s="153"/>
      <c r="AZ45" s="153"/>
      <c r="BA45" s="153"/>
    </row>
    <row r="46" spans="1:53" s="137" customFormat="1" x14ac:dyDescent="0.3">
      <c r="A46" s="138"/>
      <c r="C46" s="133"/>
      <c r="F46" s="139" t="s">
        <v>173</v>
      </c>
      <c r="G46" s="149">
        <f>SUM(G4:G45)</f>
        <v>214237.18</v>
      </c>
      <c r="H46" s="148">
        <f>SUM(H4:H45)</f>
        <v>1236.3699999999999</v>
      </c>
      <c r="I46" s="149">
        <f>SUM(I4:I45)</f>
        <v>17041.650000000001</v>
      </c>
      <c r="P46" s="139" t="s">
        <v>173</v>
      </c>
      <c r="Q46" s="148">
        <f>SUM(Q4:Q45)</f>
        <v>159604</v>
      </c>
      <c r="R46" s="148"/>
      <c r="S46" s="148">
        <f>SUM(S4:S45)</f>
        <v>400.77</v>
      </c>
      <c r="W46" s="159">
        <v>156</v>
      </c>
      <c r="X46" s="153" t="s">
        <v>404</v>
      </c>
      <c r="Y46" s="153">
        <v>33600</v>
      </c>
      <c r="Z46" s="169">
        <f>1348.37-385.64-15.13</f>
        <v>947.59999999999991</v>
      </c>
      <c r="AA46" s="169">
        <f>35825.7-14700</f>
        <v>21125.699999999997</v>
      </c>
      <c r="AB46" s="153"/>
      <c r="AC46" s="159">
        <v>134</v>
      </c>
      <c r="AD46" s="160">
        <v>45485</v>
      </c>
      <c r="AE46" s="153">
        <v>2300</v>
      </c>
      <c r="AF46" s="153"/>
      <c r="AJ46" s="153">
        <v>96</v>
      </c>
      <c r="AK46" s="153" t="s">
        <v>438</v>
      </c>
      <c r="AL46" s="153">
        <v>5500</v>
      </c>
      <c r="AM46" s="153"/>
      <c r="AN46" s="364">
        <v>134</v>
      </c>
      <c r="AO46" s="358">
        <v>45581</v>
      </c>
      <c r="AP46" s="360">
        <v>2000</v>
      </c>
      <c r="AQ46" s="359"/>
      <c r="AR46" s="364"/>
      <c r="AS46" s="358"/>
      <c r="AT46" s="360"/>
      <c r="AU46" s="169"/>
      <c r="AV46" s="169"/>
      <c r="AW46" s="359"/>
      <c r="AX46" s="153"/>
      <c r="AY46" s="153"/>
      <c r="AZ46" s="153"/>
      <c r="BA46" s="153"/>
    </row>
    <row r="47" spans="1:53" s="137" customFormat="1" x14ac:dyDescent="0.3">
      <c r="W47" s="159">
        <v>163</v>
      </c>
      <c r="X47" s="153" t="s">
        <v>404</v>
      </c>
      <c r="Y47" s="153">
        <v>3500</v>
      </c>
      <c r="Z47" s="153"/>
      <c r="AA47" s="153"/>
      <c r="AB47" s="153"/>
      <c r="AC47" s="159">
        <v>141</v>
      </c>
      <c r="AD47" s="160">
        <v>45474</v>
      </c>
      <c r="AE47" s="153">
        <v>4000</v>
      </c>
      <c r="AF47" s="153"/>
      <c r="AJ47" s="153">
        <v>101</v>
      </c>
      <c r="AK47" s="153" t="s">
        <v>446</v>
      </c>
      <c r="AL47" s="153">
        <v>3500</v>
      </c>
      <c r="AM47" s="153"/>
      <c r="AN47" s="364">
        <v>139</v>
      </c>
      <c r="AO47" s="358">
        <v>45575</v>
      </c>
      <c r="AP47" s="362">
        <v>11700</v>
      </c>
      <c r="AQ47" s="359"/>
      <c r="AR47" s="364"/>
      <c r="AS47" s="358"/>
      <c r="AT47" s="362"/>
      <c r="AU47" s="153"/>
      <c r="AV47" s="153"/>
      <c r="AW47" s="359"/>
      <c r="AX47" s="153"/>
      <c r="AY47" s="153"/>
      <c r="AZ47" s="153"/>
      <c r="BA47" s="153"/>
    </row>
    <row r="48" spans="1:53" s="137" customFormat="1" x14ac:dyDescent="0.3">
      <c r="W48" s="159">
        <v>163</v>
      </c>
      <c r="X48" s="153" t="s">
        <v>404</v>
      </c>
      <c r="Y48" s="153">
        <v>4000</v>
      </c>
      <c r="Z48" s="153"/>
      <c r="AA48" s="153"/>
      <c r="AB48" s="153"/>
      <c r="AC48" s="159">
        <v>147</v>
      </c>
      <c r="AD48" s="160">
        <v>45488</v>
      </c>
      <c r="AE48" s="153">
        <v>8000</v>
      </c>
      <c r="AF48" s="153"/>
      <c r="AJ48" s="153">
        <v>101</v>
      </c>
      <c r="AK48" s="153" t="s">
        <v>446</v>
      </c>
      <c r="AL48" s="153">
        <v>6000</v>
      </c>
      <c r="AM48" s="153"/>
      <c r="AN48" s="357">
        <v>140</v>
      </c>
      <c r="AO48" s="358">
        <v>45569</v>
      </c>
      <c r="AP48" s="362">
        <v>2750</v>
      </c>
      <c r="AQ48" s="359"/>
      <c r="AR48" s="357"/>
      <c r="AS48" s="358"/>
      <c r="AT48" s="362"/>
      <c r="AU48" s="153"/>
      <c r="AV48" s="153"/>
      <c r="AW48" s="359"/>
      <c r="AX48" s="153"/>
      <c r="AY48" s="153"/>
      <c r="AZ48" s="153"/>
      <c r="BA48" s="153"/>
    </row>
    <row r="49" spans="23:53" s="137" customFormat="1" x14ac:dyDescent="0.3">
      <c r="W49" s="159">
        <v>163</v>
      </c>
      <c r="X49" s="153" t="s">
        <v>404</v>
      </c>
      <c r="Y49" s="153">
        <v>4600</v>
      </c>
      <c r="Z49" s="153"/>
      <c r="AA49" s="153"/>
      <c r="AB49" s="153"/>
      <c r="AC49" s="159">
        <v>147</v>
      </c>
      <c r="AD49" s="160">
        <v>45488</v>
      </c>
      <c r="AE49" s="153">
        <v>11700</v>
      </c>
      <c r="AF49" s="153"/>
      <c r="AJ49" s="153" t="s">
        <v>276</v>
      </c>
      <c r="AK49" s="153" t="s">
        <v>446</v>
      </c>
      <c r="AL49" s="153">
        <v>3000</v>
      </c>
      <c r="AM49" s="153"/>
      <c r="AN49" s="357">
        <v>146</v>
      </c>
      <c r="AO49" s="358">
        <v>45573</v>
      </c>
      <c r="AP49" s="362">
        <v>1500</v>
      </c>
      <c r="AQ49" s="359"/>
      <c r="AR49" s="357"/>
      <c r="AS49" s="358"/>
      <c r="AT49" s="362"/>
      <c r="AU49" s="153"/>
      <c r="AV49" s="153"/>
      <c r="AW49" s="359"/>
      <c r="AX49" s="153"/>
      <c r="AY49" s="153"/>
      <c r="AZ49" s="153"/>
      <c r="BA49" s="153"/>
    </row>
    <row r="50" spans="23:53" s="137" customFormat="1" x14ac:dyDescent="0.3">
      <c r="W50" s="159">
        <v>164</v>
      </c>
      <c r="X50" s="153" t="s">
        <v>404</v>
      </c>
      <c r="Y50" s="153">
        <v>3500</v>
      </c>
      <c r="Z50" s="153"/>
      <c r="AA50" s="153"/>
      <c r="AB50" s="153"/>
      <c r="AC50" s="159">
        <v>149</v>
      </c>
      <c r="AD50" s="160">
        <v>45478</v>
      </c>
      <c r="AE50" s="153">
        <v>4600</v>
      </c>
      <c r="AF50" s="153"/>
      <c r="AJ50" s="153">
        <v>105</v>
      </c>
      <c r="AK50" s="153" t="s">
        <v>438</v>
      </c>
      <c r="AL50" s="153">
        <v>4850</v>
      </c>
      <c r="AM50" s="153"/>
      <c r="AN50" s="357">
        <v>146</v>
      </c>
      <c r="AO50" s="358">
        <v>45583</v>
      </c>
      <c r="AP50" s="361">
        <v>1700</v>
      </c>
      <c r="AQ50" s="357"/>
      <c r="AR50" s="357"/>
      <c r="AS50" s="358"/>
      <c r="AT50" s="361"/>
      <c r="AU50" s="153"/>
      <c r="AV50" s="153"/>
      <c r="AW50" s="357"/>
      <c r="AX50" s="153"/>
      <c r="AY50" s="153"/>
      <c r="AZ50" s="153"/>
      <c r="BA50" s="153"/>
    </row>
    <row r="51" spans="23:53" s="137" customFormat="1" x14ac:dyDescent="0.3">
      <c r="W51" s="159">
        <v>164</v>
      </c>
      <c r="X51" s="153" t="s">
        <v>404</v>
      </c>
      <c r="Y51" s="153">
        <v>4000</v>
      </c>
      <c r="Z51" s="153"/>
      <c r="AA51" s="153"/>
      <c r="AB51" s="153"/>
      <c r="AC51" s="159">
        <v>154</v>
      </c>
      <c r="AD51" s="160">
        <v>45484</v>
      </c>
      <c r="AE51" s="153">
        <v>15200</v>
      </c>
      <c r="AF51" s="153"/>
      <c r="AJ51" s="153">
        <v>107</v>
      </c>
      <c r="AK51" s="153" t="s">
        <v>438</v>
      </c>
      <c r="AL51" s="153">
        <v>5750</v>
      </c>
      <c r="AM51" s="153"/>
      <c r="AN51" s="357">
        <v>148</v>
      </c>
      <c r="AO51" s="358">
        <v>45566</v>
      </c>
      <c r="AP51" s="362">
        <v>917</v>
      </c>
      <c r="AQ51" s="359"/>
      <c r="AR51" s="357"/>
      <c r="AS51" s="358"/>
      <c r="AT51" s="362"/>
      <c r="AU51" s="153"/>
      <c r="AV51" s="153"/>
      <c r="AW51" s="359"/>
      <c r="AX51" s="153"/>
      <c r="AY51" s="153"/>
      <c r="AZ51" s="153"/>
      <c r="BA51" s="153"/>
    </row>
    <row r="52" spans="23:53" s="137" customFormat="1" x14ac:dyDescent="0.3">
      <c r="W52" s="159">
        <v>164</v>
      </c>
      <c r="X52" s="153" t="s">
        <v>404</v>
      </c>
      <c r="Y52" s="153">
        <v>4600</v>
      </c>
      <c r="Z52" s="153"/>
      <c r="AA52" s="153"/>
      <c r="AB52" s="153"/>
      <c r="AC52" s="159" t="s">
        <v>237</v>
      </c>
      <c r="AD52" s="160">
        <v>45488</v>
      </c>
      <c r="AE52" s="153">
        <v>22000</v>
      </c>
      <c r="AF52" s="153"/>
      <c r="AJ52" s="153">
        <v>112</v>
      </c>
      <c r="AK52" s="153" t="s">
        <v>449</v>
      </c>
      <c r="AL52" s="153">
        <v>350</v>
      </c>
      <c r="AM52" s="153"/>
      <c r="AN52" s="357">
        <v>151</v>
      </c>
      <c r="AO52" s="358">
        <v>45576</v>
      </c>
      <c r="AP52" s="362">
        <v>6000</v>
      </c>
      <c r="AQ52" s="359"/>
      <c r="AR52" s="357"/>
      <c r="AS52" s="358"/>
      <c r="AT52" s="362"/>
      <c r="AU52" s="153"/>
      <c r="AV52" s="153"/>
      <c r="AW52" s="359"/>
      <c r="AX52" s="153"/>
      <c r="AY52" s="153"/>
      <c r="AZ52" s="153"/>
      <c r="BA52" s="153"/>
    </row>
    <row r="53" spans="23:53" s="137" customFormat="1" x14ac:dyDescent="0.3">
      <c r="W53" s="159" t="s">
        <v>405</v>
      </c>
      <c r="X53" s="153" t="s">
        <v>393</v>
      </c>
      <c r="Y53" s="153">
        <v>18000</v>
      </c>
      <c r="Z53" s="153"/>
      <c r="AA53" s="153"/>
      <c r="AB53" s="153"/>
      <c r="AD53" s="161" t="s">
        <v>173</v>
      </c>
      <c r="AE53" s="137">
        <f>SUM(AE4:AE52)</f>
        <v>259210</v>
      </c>
      <c r="AF53" s="137">
        <f>SUM(AF4:AF52)</f>
        <v>21000</v>
      </c>
      <c r="AJ53" s="153">
        <v>112</v>
      </c>
      <c r="AK53" s="153" t="s">
        <v>449</v>
      </c>
      <c r="AL53" s="153">
        <v>2000</v>
      </c>
      <c r="AM53" s="153"/>
      <c r="AN53" s="357">
        <v>161</v>
      </c>
      <c r="AO53" s="358">
        <v>45579</v>
      </c>
      <c r="AP53" s="362">
        <v>4000</v>
      </c>
      <c r="AQ53" s="359"/>
      <c r="AR53" s="357"/>
      <c r="AS53" s="358"/>
      <c r="AT53" s="362"/>
      <c r="AU53" s="153"/>
      <c r="AV53" s="153"/>
      <c r="AW53" s="359"/>
      <c r="AX53" s="153"/>
      <c r="AY53" s="153"/>
      <c r="AZ53" s="153"/>
      <c r="BA53" s="153"/>
    </row>
    <row r="54" spans="23:53" s="137" customFormat="1" x14ac:dyDescent="0.3">
      <c r="X54" s="161" t="s">
        <v>173</v>
      </c>
      <c r="Y54" s="137">
        <f>SUM(Y4:Y53)</f>
        <v>213138</v>
      </c>
      <c r="Z54" s="137">
        <f t="shared" ref="Z54:AB54" si="1">SUM(Z4:Z53)</f>
        <v>947.59999999999991</v>
      </c>
      <c r="AA54" s="137">
        <f t="shared" si="1"/>
        <v>21125.699999999997</v>
      </c>
      <c r="AB54" s="137">
        <f t="shared" si="1"/>
        <v>19000</v>
      </c>
      <c r="AJ54" s="153">
        <v>114</v>
      </c>
      <c r="AK54" s="153" t="s">
        <v>444</v>
      </c>
      <c r="AL54" s="153">
        <v>5500</v>
      </c>
      <c r="AM54" s="153"/>
      <c r="AN54" s="357">
        <v>163</v>
      </c>
      <c r="AO54" s="358">
        <v>45572</v>
      </c>
      <c r="AP54" s="362">
        <v>3667</v>
      </c>
      <c r="AQ54" s="359"/>
      <c r="AR54" s="357"/>
      <c r="AS54" s="358"/>
      <c r="AT54" s="362"/>
      <c r="AU54" s="153"/>
      <c r="AV54" s="153"/>
      <c r="AW54" s="359"/>
      <c r="AX54" s="153"/>
      <c r="AY54" s="153"/>
      <c r="AZ54" s="153"/>
      <c r="BA54" s="153"/>
    </row>
    <row r="55" spans="23:53" s="137" customFormat="1" x14ac:dyDescent="0.3">
      <c r="AJ55" s="153">
        <v>117</v>
      </c>
      <c r="AK55" s="153" t="s">
        <v>444</v>
      </c>
      <c r="AL55" s="153">
        <v>1000</v>
      </c>
      <c r="AM55" s="153"/>
      <c r="AN55" s="357">
        <v>164</v>
      </c>
      <c r="AO55" s="358">
        <v>45572</v>
      </c>
      <c r="AP55" s="362">
        <v>3667</v>
      </c>
      <c r="AQ55" s="359"/>
      <c r="AR55" s="357"/>
      <c r="AS55" s="358"/>
      <c r="AT55" s="362"/>
      <c r="AU55" s="153"/>
      <c r="AV55" s="153"/>
      <c r="AW55" s="359"/>
      <c r="AX55" s="153"/>
      <c r="AY55" s="153"/>
      <c r="AZ55" s="153"/>
      <c r="BA55" s="153"/>
    </row>
    <row r="56" spans="23:53" s="137" customFormat="1" x14ac:dyDescent="0.3">
      <c r="AJ56" s="153">
        <v>123</v>
      </c>
      <c r="AK56" s="153" t="s">
        <v>440</v>
      </c>
      <c r="AL56" s="153">
        <v>3000</v>
      </c>
      <c r="AM56" s="153"/>
      <c r="AO56" s="148" t="s">
        <v>173</v>
      </c>
      <c r="AP56" s="365">
        <f>SUM(AP4:AP55)</f>
        <v>265895</v>
      </c>
      <c r="AQ56" s="137">
        <f>SUM(AQ4:AQ55)</f>
        <v>20000</v>
      </c>
      <c r="AS56" s="148" t="s">
        <v>173</v>
      </c>
      <c r="AT56" s="365">
        <f>SUM(AT4:AT55)</f>
        <v>197512</v>
      </c>
      <c r="AU56" s="137">
        <f>SUM(AU4:AU53)</f>
        <v>3736</v>
      </c>
      <c r="AV56" s="137">
        <f>SUM(AV4:AV53)</f>
        <v>30000</v>
      </c>
      <c r="AW56" s="137">
        <v>20000</v>
      </c>
      <c r="AY56" s="148" t="s">
        <v>173</v>
      </c>
      <c r="AZ56" s="137">
        <f>SUM(AZ4:AZ55)</f>
        <v>155966</v>
      </c>
    </row>
    <row r="57" spans="23:53" s="137" customFormat="1" x14ac:dyDescent="0.3">
      <c r="AJ57" s="153">
        <v>127</v>
      </c>
      <c r="AK57" s="153" t="s">
        <v>437</v>
      </c>
      <c r="AL57" s="153">
        <v>11000</v>
      </c>
      <c r="AM57" s="153"/>
      <c r="AT57" s="365">
        <f>SUM(AT56+AU56+AV56+AW56)</f>
        <v>251248</v>
      </c>
    </row>
    <row r="58" spans="23:53" s="137" customFormat="1" x14ac:dyDescent="0.3">
      <c r="AJ58" s="153">
        <v>132</v>
      </c>
      <c r="AK58" s="153" t="s">
        <v>437</v>
      </c>
      <c r="AL58" s="153">
        <v>11000</v>
      </c>
      <c r="AM58" s="153"/>
    </row>
    <row r="59" spans="23:53" s="137" customFormat="1" x14ac:dyDescent="0.3">
      <c r="AJ59" s="153">
        <v>134</v>
      </c>
      <c r="AK59" s="153" t="s">
        <v>440</v>
      </c>
      <c r="AL59" s="153">
        <v>3000</v>
      </c>
      <c r="AM59" s="153"/>
    </row>
    <row r="60" spans="23:53" s="137" customFormat="1" x14ac:dyDescent="0.3">
      <c r="AJ60" s="153">
        <v>135</v>
      </c>
      <c r="AK60" s="153" t="s">
        <v>442</v>
      </c>
      <c r="AL60" s="153">
        <v>6000</v>
      </c>
      <c r="AM60" s="153"/>
    </row>
    <row r="61" spans="23:53" s="137" customFormat="1" x14ac:dyDescent="0.3">
      <c r="AJ61" s="153">
        <v>142</v>
      </c>
      <c r="AK61" s="153" t="s">
        <v>453</v>
      </c>
      <c r="AL61" s="153">
        <v>2750</v>
      </c>
      <c r="AM61" s="153"/>
    </row>
    <row r="62" spans="23:53" s="137" customFormat="1" x14ac:dyDescent="0.3">
      <c r="AJ62" s="153">
        <v>143</v>
      </c>
      <c r="AK62" s="153" t="s">
        <v>453</v>
      </c>
      <c r="AL62" s="153">
        <v>2750</v>
      </c>
      <c r="AM62" s="153"/>
    </row>
    <row r="63" spans="23:53" s="137" customFormat="1" x14ac:dyDescent="0.3">
      <c r="AJ63" s="153">
        <v>144</v>
      </c>
      <c r="AK63" s="153" t="s">
        <v>453</v>
      </c>
      <c r="AL63" s="153">
        <v>2750</v>
      </c>
      <c r="AM63" s="153"/>
    </row>
    <row r="64" spans="23:53" s="137" customFormat="1" x14ac:dyDescent="0.3">
      <c r="AJ64" s="153">
        <v>145</v>
      </c>
      <c r="AK64" s="153" t="s">
        <v>453</v>
      </c>
      <c r="AL64" s="153">
        <v>2750</v>
      </c>
      <c r="AM64" s="153"/>
    </row>
    <row r="65" spans="36:39" s="137" customFormat="1" x14ac:dyDescent="0.3">
      <c r="AJ65" s="153">
        <v>148</v>
      </c>
      <c r="AK65" s="153" t="s">
        <v>442</v>
      </c>
      <c r="AL65" s="153">
        <v>350</v>
      </c>
      <c r="AM65" s="153"/>
    </row>
    <row r="66" spans="36:39" s="137" customFormat="1" x14ac:dyDescent="0.3">
      <c r="AJ66" s="153">
        <v>148</v>
      </c>
      <c r="AK66" s="153" t="s">
        <v>438</v>
      </c>
      <c r="AL66" s="153">
        <v>30</v>
      </c>
      <c r="AM66" s="153"/>
    </row>
    <row r="67" spans="36:39" s="137" customFormat="1" x14ac:dyDescent="0.3">
      <c r="AJ67" s="153">
        <v>150</v>
      </c>
      <c r="AK67" s="153" t="s">
        <v>438</v>
      </c>
      <c r="AL67" s="153">
        <v>11000</v>
      </c>
      <c r="AM67" s="153"/>
    </row>
    <row r="68" spans="36:39" s="137" customFormat="1" x14ac:dyDescent="0.3">
      <c r="AJ68" s="153">
        <v>152</v>
      </c>
      <c r="AK68" s="153" t="s">
        <v>454</v>
      </c>
      <c r="AL68" s="153">
        <v>2750</v>
      </c>
      <c r="AM68" s="153"/>
    </row>
    <row r="69" spans="36:39" s="137" customFormat="1" x14ac:dyDescent="0.3">
      <c r="AJ69" s="153">
        <v>161</v>
      </c>
      <c r="AK69" s="153" t="s">
        <v>455</v>
      </c>
      <c r="AL69" s="153">
        <v>2000</v>
      </c>
      <c r="AM69" s="153"/>
    </row>
    <row r="70" spans="36:39" s="137" customFormat="1" x14ac:dyDescent="0.3">
      <c r="AJ70" s="153">
        <v>162</v>
      </c>
      <c r="AK70" s="153" t="s">
        <v>438</v>
      </c>
      <c r="AL70" s="153">
        <v>11000</v>
      </c>
      <c r="AM70" s="153"/>
    </row>
    <row r="71" spans="36:39" s="137" customFormat="1" x14ac:dyDescent="0.3">
      <c r="AK71" s="148" t="s">
        <v>173</v>
      </c>
      <c r="AL71" s="137">
        <f>SUM(AL4:AL70)</f>
        <v>333215</v>
      </c>
    </row>
    <row r="72" spans="36:39" s="137" customFormat="1" x14ac:dyDescent="0.3"/>
    <row r="73" spans="36:39" s="137" customFormat="1" x14ac:dyDescent="0.3"/>
    <row r="74" spans="36:39" s="137" customFormat="1" x14ac:dyDescent="0.3"/>
    <row r="75" spans="36:39" s="137" customFormat="1" x14ac:dyDescent="0.3"/>
    <row r="76" spans="36:39" s="137" customFormat="1" x14ac:dyDescent="0.3"/>
    <row r="77" spans="36:39" s="137" customFormat="1" x14ac:dyDescent="0.3"/>
    <row r="78" spans="36:39" s="137" customFormat="1" x14ac:dyDescent="0.3"/>
    <row r="79" spans="36:39" s="137" customFormat="1" x14ac:dyDescent="0.3"/>
    <row r="80" spans="36:39" s="137" customFormat="1" x14ac:dyDescent="0.3"/>
    <row r="81" s="137" customFormat="1" x14ac:dyDescent="0.3"/>
    <row r="82" s="137" customFormat="1" x14ac:dyDescent="0.3"/>
    <row r="83" s="137" customFormat="1" x14ac:dyDescent="0.3"/>
    <row r="84" s="137" customFormat="1" x14ac:dyDescent="0.3"/>
    <row r="85" s="44" customFormat="1" x14ac:dyDescent="0.3"/>
    <row r="86" s="44" customFormat="1" x14ac:dyDescent="0.3"/>
    <row r="87" s="44" customFormat="1" x14ac:dyDescent="0.3"/>
    <row r="88" s="44" customFormat="1" x14ac:dyDescent="0.3"/>
    <row r="89" s="44" customFormat="1" x14ac:dyDescent="0.3"/>
    <row r="90" s="44" customFormat="1" x14ac:dyDescent="0.3"/>
    <row r="91" s="44" customFormat="1" x14ac:dyDescent="0.3"/>
    <row r="92" s="44" customFormat="1" x14ac:dyDescent="0.3"/>
    <row r="93" s="44" customFormat="1" x14ac:dyDescent="0.3"/>
    <row r="94" s="44" customFormat="1" x14ac:dyDescent="0.3"/>
    <row r="95" s="44" customFormat="1" x14ac:dyDescent="0.3"/>
    <row r="96" s="44" customFormat="1" x14ac:dyDescent="0.3"/>
    <row r="97" spans="4:4" s="44" customFormat="1" x14ac:dyDescent="0.3"/>
    <row r="98" spans="4:4" s="44" customFormat="1" x14ac:dyDescent="0.3"/>
    <row r="99" spans="4:4" s="44" customFormat="1" x14ac:dyDescent="0.3"/>
    <row r="100" spans="4:4" s="44" customFormat="1" x14ac:dyDescent="0.3"/>
    <row r="101" spans="4:4" s="44" customFormat="1" x14ac:dyDescent="0.3"/>
    <row r="102" spans="4:4" s="44" customFormat="1" x14ac:dyDescent="0.3">
      <c r="D102" s="134"/>
    </row>
    <row r="103" spans="4:4" s="44" customFormat="1" x14ac:dyDescent="0.3"/>
    <row r="104" spans="4:4" s="44" customFormat="1" x14ac:dyDescent="0.3"/>
    <row r="105" spans="4:4" s="44" customFormat="1" x14ac:dyDescent="0.3"/>
    <row r="106" spans="4:4" s="44" customFormat="1" x14ac:dyDescent="0.3"/>
    <row r="107" spans="4:4" s="44" customFormat="1" x14ac:dyDescent="0.3"/>
    <row r="108" spans="4:4" s="44" customFormat="1" x14ac:dyDescent="0.3"/>
    <row r="109" spans="4:4" s="44" customFormat="1" x14ac:dyDescent="0.3"/>
    <row r="110" spans="4:4" s="44" customFormat="1" x14ac:dyDescent="0.3"/>
    <row r="111" spans="4:4" s="44" customFormat="1" x14ac:dyDescent="0.3"/>
    <row r="112" spans="4:4" s="44" customFormat="1" x14ac:dyDescent="0.3"/>
    <row r="113" s="44" customFormat="1" x14ac:dyDescent="0.3"/>
    <row r="114" s="44" customFormat="1" x14ac:dyDescent="0.3"/>
    <row r="115" s="44" customFormat="1" x14ac:dyDescent="0.3"/>
    <row r="116" s="44" customFormat="1" x14ac:dyDescent="0.3"/>
    <row r="117" s="44" customFormat="1" x14ac:dyDescent="0.3"/>
    <row r="118" s="44" customFormat="1" x14ac:dyDescent="0.3"/>
    <row r="119" s="44" customFormat="1" x14ac:dyDescent="0.3"/>
    <row r="120" s="44" customFormat="1" x14ac:dyDescent="0.3"/>
    <row r="121" s="44" customFormat="1" x14ac:dyDescent="0.3"/>
    <row r="122" s="44" customFormat="1" x14ac:dyDescent="0.3"/>
    <row r="123" s="44" customFormat="1" x14ac:dyDescent="0.3"/>
    <row r="124" s="44" customFormat="1" x14ac:dyDescent="0.3"/>
    <row r="125" s="44" customFormat="1" x14ac:dyDescent="0.3"/>
    <row r="126" s="44" customFormat="1" x14ac:dyDescent="0.3"/>
    <row r="127" s="44" customFormat="1" x14ac:dyDescent="0.3"/>
    <row r="128" s="44" customFormat="1" x14ac:dyDescent="0.3"/>
    <row r="129" s="44" customFormat="1" x14ac:dyDescent="0.3"/>
    <row r="130" s="44" customFormat="1" x14ac:dyDescent="0.3"/>
    <row r="131" s="44" customFormat="1" x14ac:dyDescent="0.3"/>
    <row r="132" s="44" customFormat="1" x14ac:dyDescent="0.3"/>
    <row r="133" s="44" customFormat="1" x14ac:dyDescent="0.3"/>
    <row r="134" s="44" customFormat="1" x14ac:dyDescent="0.3"/>
    <row r="135" s="44" customFormat="1" x14ac:dyDescent="0.3"/>
    <row r="136" s="44" customFormat="1" x14ac:dyDescent="0.3"/>
    <row r="137" s="44" customFormat="1" x14ac:dyDescent="0.3"/>
    <row r="138" s="44" customFormat="1" x14ac:dyDescent="0.3"/>
    <row r="139" s="44" customFormat="1" x14ac:dyDescent="0.3"/>
    <row r="140" s="44" customFormat="1" x14ac:dyDescent="0.3"/>
    <row r="141" s="44" customFormat="1" x14ac:dyDescent="0.3"/>
    <row r="142" s="44" customFormat="1" x14ac:dyDescent="0.3"/>
    <row r="143" s="44" customFormat="1" x14ac:dyDescent="0.3"/>
    <row r="144" s="44" customFormat="1" x14ac:dyDescent="0.3"/>
    <row r="145" s="44" customFormat="1" x14ac:dyDescent="0.3"/>
    <row r="146" s="44" customFormat="1" x14ac:dyDescent="0.3"/>
    <row r="147" s="44" customFormat="1" x14ac:dyDescent="0.3"/>
    <row r="148" s="44" customFormat="1" x14ac:dyDescent="0.3"/>
    <row r="149" s="44" customFormat="1" x14ac:dyDescent="0.3"/>
    <row r="150" s="44" customFormat="1" x14ac:dyDescent="0.3"/>
    <row r="151" s="44" customFormat="1" x14ac:dyDescent="0.3"/>
    <row r="152" s="44" customFormat="1" x14ac:dyDescent="0.3"/>
    <row r="153" s="44" customFormat="1" x14ac:dyDescent="0.3"/>
    <row r="154" s="44" customFormat="1" x14ac:dyDescent="0.3"/>
    <row r="155" s="44" customFormat="1" x14ac:dyDescent="0.3"/>
    <row r="156" s="44" customFormat="1" x14ac:dyDescent="0.3"/>
    <row r="157" s="44" customFormat="1" x14ac:dyDescent="0.3"/>
    <row r="158" s="44" customFormat="1" x14ac:dyDescent="0.3"/>
    <row r="159" s="44" customFormat="1" x14ac:dyDescent="0.3"/>
    <row r="160" s="44" customFormat="1" x14ac:dyDescent="0.3"/>
    <row r="161" s="44" customFormat="1" x14ac:dyDescent="0.3"/>
    <row r="162" s="44" customFormat="1" x14ac:dyDescent="0.3"/>
    <row r="163" s="44" customFormat="1" x14ac:dyDescent="0.3"/>
    <row r="164" s="44" customFormat="1" x14ac:dyDescent="0.3"/>
    <row r="165" s="44" customFormat="1" x14ac:dyDescent="0.3"/>
    <row r="166" s="44" customFormat="1" x14ac:dyDescent="0.3"/>
    <row r="167" s="44" customFormat="1" x14ac:dyDescent="0.3"/>
    <row r="168" s="44" customFormat="1" x14ac:dyDescent="0.3"/>
    <row r="169" s="44" customFormat="1" x14ac:dyDescent="0.3"/>
    <row r="170" s="44" customFormat="1" x14ac:dyDescent="0.3"/>
    <row r="171" s="44" customFormat="1" x14ac:dyDescent="0.3"/>
    <row r="172" s="44" customFormat="1" x14ac:dyDescent="0.3"/>
    <row r="173" s="44" customFormat="1" x14ac:dyDescent="0.3"/>
    <row r="174" s="44" customFormat="1" x14ac:dyDescent="0.3"/>
    <row r="175" s="44" customFormat="1" x14ac:dyDescent="0.3"/>
    <row r="176" s="44" customFormat="1" x14ac:dyDescent="0.3"/>
    <row r="177" s="44" customFormat="1" x14ac:dyDescent="0.3"/>
    <row r="178" s="44" customFormat="1" x14ac:dyDescent="0.3"/>
    <row r="179" s="44" customFormat="1" x14ac:dyDescent="0.3"/>
    <row r="180" s="44" customFormat="1" x14ac:dyDescent="0.3"/>
    <row r="181" s="44" customFormat="1" x14ac:dyDescent="0.3"/>
    <row r="182" s="44" customFormat="1" x14ac:dyDescent="0.3"/>
    <row r="183" s="44" customFormat="1" x14ac:dyDescent="0.3"/>
    <row r="184" s="44" customFormat="1" x14ac:dyDescent="0.3"/>
    <row r="185" s="44" customFormat="1" x14ac:dyDescent="0.3"/>
    <row r="186" s="44" customFormat="1" x14ac:dyDescent="0.3"/>
    <row r="187" s="44" customFormat="1" x14ac:dyDescent="0.3"/>
    <row r="188" s="44" customFormat="1" x14ac:dyDescent="0.3"/>
    <row r="189" s="44" customFormat="1" x14ac:dyDescent="0.3"/>
    <row r="190" s="44" customFormat="1" x14ac:dyDescent="0.3"/>
    <row r="191" s="44" customFormat="1" x14ac:dyDescent="0.3"/>
    <row r="192" s="44" customFormat="1" x14ac:dyDescent="0.3"/>
    <row r="193" s="44" customFormat="1" x14ac:dyDescent="0.3"/>
    <row r="194" s="44" customFormat="1" x14ac:dyDescent="0.3"/>
    <row r="195" s="44" customFormat="1" x14ac:dyDescent="0.3"/>
    <row r="196" s="44" customFormat="1" x14ac:dyDescent="0.3"/>
    <row r="197" s="44" customFormat="1" x14ac:dyDescent="0.3"/>
    <row r="198" s="44" customFormat="1" x14ac:dyDescent="0.3"/>
    <row r="199" s="44" customFormat="1" x14ac:dyDescent="0.3"/>
    <row r="200" s="44" customFormat="1" x14ac:dyDescent="0.3"/>
    <row r="201" s="44" customFormat="1" x14ac:dyDescent="0.3"/>
    <row r="202" s="44" customFormat="1" x14ac:dyDescent="0.3"/>
    <row r="203" s="44" customFormat="1" x14ac:dyDescent="0.3"/>
    <row r="204" s="44" customFormat="1" x14ac:dyDescent="0.3"/>
    <row r="205" s="44" customFormat="1" x14ac:dyDescent="0.3"/>
    <row r="206" s="44" customFormat="1" x14ac:dyDescent="0.3"/>
    <row r="207" s="44" customFormat="1" x14ac:dyDescent="0.3"/>
    <row r="208" s="44" customFormat="1" x14ac:dyDescent="0.3"/>
    <row r="209" s="44" customFormat="1" x14ac:dyDescent="0.3"/>
    <row r="210" s="44" customFormat="1" x14ac:dyDescent="0.3"/>
    <row r="211" s="44" customFormat="1" x14ac:dyDescent="0.3"/>
    <row r="212" s="44" customFormat="1" x14ac:dyDescent="0.3"/>
    <row r="213" s="44" customFormat="1" x14ac:dyDescent="0.3"/>
    <row r="214" s="44" customFormat="1" x14ac:dyDescent="0.3"/>
    <row r="215" s="44" customFormat="1" x14ac:dyDescent="0.3"/>
    <row r="216" s="44" customFormat="1" x14ac:dyDescent="0.3"/>
    <row r="217" s="44" customFormat="1" x14ac:dyDescent="0.3"/>
    <row r="218" s="44" customFormat="1" x14ac:dyDescent="0.3"/>
    <row r="219" s="44" customFormat="1" x14ac:dyDescent="0.3"/>
    <row r="220" s="44" customFormat="1" x14ac:dyDescent="0.3"/>
    <row r="221" s="44" customFormat="1" x14ac:dyDescent="0.3"/>
    <row r="222" s="44" customFormat="1" x14ac:dyDescent="0.3"/>
    <row r="223" s="44" customFormat="1" x14ac:dyDescent="0.3"/>
    <row r="224" s="44" customFormat="1" x14ac:dyDescent="0.3"/>
    <row r="225" s="44" customFormat="1" x14ac:dyDescent="0.3"/>
    <row r="226" s="44" customFormat="1" x14ac:dyDescent="0.3"/>
    <row r="227" s="44" customFormat="1" x14ac:dyDescent="0.3"/>
    <row r="228" s="44" customFormat="1" x14ac:dyDescent="0.3"/>
    <row r="229" s="44" customFormat="1" x14ac:dyDescent="0.3"/>
    <row r="230" s="44" customFormat="1" x14ac:dyDescent="0.3"/>
    <row r="231" s="44" customFormat="1" x14ac:dyDescent="0.3"/>
    <row r="232" s="44" customFormat="1" x14ac:dyDescent="0.3"/>
    <row r="233" s="44" customFormat="1" x14ac:dyDescent="0.3"/>
    <row r="234" s="44" customFormat="1" x14ac:dyDescent="0.3"/>
    <row r="235" s="44" customFormat="1" x14ac:dyDescent="0.3"/>
    <row r="236" s="44" customFormat="1" x14ac:dyDescent="0.3"/>
    <row r="237" s="44" customFormat="1" x14ac:dyDescent="0.3"/>
    <row r="238" s="44" customFormat="1" x14ac:dyDescent="0.3"/>
    <row r="239" s="44" customFormat="1" x14ac:dyDescent="0.3"/>
    <row r="240" s="44" customFormat="1" x14ac:dyDescent="0.3"/>
    <row r="241" s="44" customFormat="1" x14ac:dyDescent="0.3"/>
    <row r="242" s="44" customFormat="1" x14ac:dyDescent="0.3"/>
    <row r="243" s="44" customFormat="1" x14ac:dyDescent="0.3"/>
    <row r="244" s="44" customFormat="1" x14ac:dyDescent="0.3"/>
    <row r="245" s="44" customFormat="1" x14ac:dyDescent="0.3"/>
    <row r="246" s="44" customFormat="1" x14ac:dyDescent="0.3"/>
    <row r="247" s="44" customFormat="1" x14ac:dyDescent="0.3"/>
    <row r="248" s="44" customFormat="1" x14ac:dyDescent="0.3"/>
    <row r="249" s="44" customFormat="1" x14ac:dyDescent="0.3"/>
    <row r="250" s="44" customFormat="1" x14ac:dyDescent="0.3"/>
    <row r="251" s="44" customFormat="1" x14ac:dyDescent="0.3"/>
    <row r="252" s="44" customFormat="1" x14ac:dyDescent="0.3"/>
    <row r="253" s="44" customFormat="1" x14ac:dyDescent="0.3"/>
    <row r="254" s="44" customFormat="1" x14ac:dyDescent="0.3"/>
    <row r="255" s="44" customFormat="1" x14ac:dyDescent="0.3"/>
    <row r="256" s="44" customFormat="1" x14ac:dyDescent="0.3"/>
    <row r="257" s="44" customFormat="1" x14ac:dyDescent="0.3"/>
    <row r="258" s="44" customFormat="1" x14ac:dyDescent="0.3"/>
    <row r="259" s="44" customFormat="1" x14ac:dyDescent="0.3"/>
    <row r="260" s="44" customFormat="1" x14ac:dyDescent="0.3"/>
    <row r="261" s="44" customFormat="1" x14ac:dyDescent="0.3"/>
    <row r="262" s="44" customFormat="1" x14ac:dyDescent="0.3"/>
    <row r="263" s="44" customFormat="1" x14ac:dyDescent="0.3"/>
    <row r="264" s="44" customFormat="1" x14ac:dyDescent="0.3"/>
    <row r="265" s="44" customFormat="1" x14ac:dyDescent="0.3"/>
    <row r="266" s="44" customFormat="1" x14ac:dyDescent="0.3"/>
    <row r="267" s="44" customFormat="1" x14ac:dyDescent="0.3"/>
    <row r="268" s="44" customFormat="1" x14ac:dyDescent="0.3"/>
    <row r="269" s="44" customFormat="1" x14ac:dyDescent="0.3"/>
    <row r="270" s="44" customFormat="1" x14ac:dyDescent="0.3"/>
    <row r="271" s="44" customFormat="1" x14ac:dyDescent="0.3"/>
    <row r="272" s="44" customFormat="1" x14ac:dyDescent="0.3"/>
    <row r="273" s="44" customFormat="1" x14ac:dyDescent="0.3"/>
    <row r="274" s="44" customFormat="1" x14ac:dyDescent="0.3"/>
    <row r="275" s="44" customFormat="1" x14ac:dyDescent="0.3"/>
    <row r="276" s="44" customFormat="1" x14ac:dyDescent="0.3"/>
    <row r="277" s="44" customFormat="1" x14ac:dyDescent="0.3"/>
    <row r="278" s="44" customFormat="1" x14ac:dyDescent="0.3"/>
    <row r="279" s="44" customFormat="1" x14ac:dyDescent="0.3"/>
    <row r="280" s="44" customFormat="1" x14ac:dyDescent="0.3"/>
    <row r="281" s="44" customFormat="1" x14ac:dyDescent="0.3"/>
    <row r="282" s="44" customFormat="1" x14ac:dyDescent="0.3"/>
    <row r="283" s="44" customFormat="1" x14ac:dyDescent="0.3"/>
    <row r="284" s="44" customFormat="1" x14ac:dyDescent="0.3"/>
    <row r="285" s="44" customFormat="1" x14ac:dyDescent="0.3"/>
    <row r="286" s="44" customFormat="1" x14ac:dyDescent="0.3"/>
    <row r="287" s="44" customFormat="1" x14ac:dyDescent="0.3"/>
    <row r="288" s="44" customFormat="1" x14ac:dyDescent="0.3"/>
    <row r="289" s="44" customFormat="1" x14ac:dyDescent="0.3"/>
    <row r="290" s="44" customFormat="1" x14ac:dyDescent="0.3"/>
    <row r="291" s="44" customFormat="1" x14ac:dyDescent="0.3"/>
    <row r="292" s="44" customFormat="1" x14ac:dyDescent="0.3"/>
    <row r="293" s="44" customFormat="1" x14ac:dyDescent="0.3"/>
    <row r="294" s="44" customFormat="1" x14ac:dyDescent="0.3"/>
    <row r="295" s="44" customFormat="1" x14ac:dyDescent="0.3"/>
    <row r="296" s="44" customFormat="1" x14ac:dyDescent="0.3"/>
    <row r="297" s="44" customFormat="1" x14ac:dyDescent="0.3"/>
    <row r="298" s="44" customFormat="1" x14ac:dyDescent="0.3"/>
    <row r="299" s="44" customFormat="1" x14ac:dyDescent="0.3"/>
    <row r="300" s="44" customFormat="1" x14ac:dyDescent="0.3"/>
    <row r="301" s="44" customFormat="1" x14ac:dyDescent="0.3"/>
    <row r="302" s="44" customFormat="1" x14ac:dyDescent="0.3"/>
    <row r="303" s="44" customFormat="1" x14ac:dyDescent="0.3"/>
    <row r="304" s="44" customFormat="1" x14ac:dyDescent="0.3"/>
    <row r="305" s="44" customFormat="1" x14ac:dyDescent="0.3"/>
    <row r="306" s="44" customFormat="1" x14ac:dyDescent="0.3"/>
    <row r="307" s="44" customFormat="1" x14ac:dyDescent="0.3"/>
    <row r="308" s="44" customFormat="1" x14ac:dyDescent="0.3"/>
    <row r="309" s="44" customFormat="1" x14ac:dyDescent="0.3"/>
    <row r="310" s="44" customFormat="1" x14ac:dyDescent="0.3"/>
    <row r="311" s="44" customFormat="1" x14ac:dyDescent="0.3"/>
    <row r="312" s="44" customFormat="1" x14ac:dyDescent="0.3"/>
    <row r="313" s="44" customFormat="1" x14ac:dyDescent="0.3"/>
    <row r="314" s="44" customFormat="1" x14ac:dyDescent="0.3"/>
    <row r="315" s="44" customFormat="1" x14ac:dyDescent="0.3"/>
    <row r="316" s="44" customFormat="1" x14ac:dyDescent="0.3"/>
    <row r="317" s="44" customFormat="1" x14ac:dyDescent="0.3"/>
    <row r="318" s="44" customFormat="1" x14ac:dyDescent="0.3"/>
    <row r="319" s="44" customFormat="1" x14ac:dyDescent="0.3"/>
    <row r="320" s="44" customFormat="1" x14ac:dyDescent="0.3"/>
    <row r="321" s="44" customFormat="1" x14ac:dyDescent="0.3"/>
    <row r="322" s="44" customFormat="1" x14ac:dyDescent="0.3"/>
    <row r="323" s="44" customFormat="1" x14ac:dyDescent="0.3"/>
    <row r="324" s="44" customFormat="1" x14ac:dyDescent="0.3"/>
    <row r="325" s="44" customFormat="1" x14ac:dyDescent="0.3"/>
    <row r="326" s="44" customFormat="1" x14ac:dyDescent="0.3"/>
    <row r="327" s="44" customFormat="1" x14ac:dyDescent="0.3"/>
    <row r="328" s="44" customFormat="1" x14ac:dyDescent="0.3"/>
    <row r="329" s="44" customFormat="1" x14ac:dyDescent="0.3"/>
    <row r="330" s="44" customFormat="1" x14ac:dyDescent="0.3"/>
    <row r="331" s="44" customFormat="1" x14ac:dyDescent="0.3"/>
    <row r="332" s="44" customFormat="1" x14ac:dyDescent="0.3"/>
    <row r="333" s="44" customFormat="1" x14ac:dyDescent="0.3"/>
    <row r="334" s="44" customFormat="1" x14ac:dyDescent="0.3"/>
    <row r="335" s="44" customFormat="1" x14ac:dyDescent="0.3"/>
    <row r="336" s="44" customFormat="1" x14ac:dyDescent="0.3"/>
    <row r="337" s="44" customFormat="1" x14ac:dyDescent="0.3"/>
    <row r="338" s="44" customFormat="1" x14ac:dyDescent="0.3"/>
    <row r="339" s="44" customFormat="1" x14ac:dyDescent="0.3"/>
    <row r="340" s="44" customFormat="1" x14ac:dyDescent="0.3"/>
    <row r="341" s="44" customFormat="1" x14ac:dyDescent="0.3"/>
    <row r="342" s="44" customFormat="1" x14ac:dyDescent="0.3"/>
    <row r="343" s="44" customFormat="1" x14ac:dyDescent="0.3"/>
    <row r="344" s="44" customFormat="1" x14ac:dyDescent="0.3"/>
    <row r="345" s="44" customFormat="1" x14ac:dyDescent="0.3"/>
    <row r="346" s="44" customFormat="1" x14ac:dyDescent="0.3"/>
    <row r="347" s="44" customFormat="1" x14ac:dyDescent="0.3"/>
    <row r="348" s="44" customFormat="1" x14ac:dyDescent="0.3"/>
    <row r="349" s="44" customFormat="1" x14ac:dyDescent="0.3"/>
    <row r="350" s="44" customFormat="1" x14ac:dyDescent="0.3"/>
    <row r="351" s="44" customFormat="1" x14ac:dyDescent="0.3"/>
    <row r="352" s="44" customFormat="1" x14ac:dyDescent="0.3"/>
    <row r="353" s="44" customFormat="1" x14ac:dyDescent="0.3"/>
    <row r="354" s="44" customFormat="1" x14ac:dyDescent="0.3"/>
    <row r="355" s="44" customFormat="1" x14ac:dyDescent="0.3"/>
    <row r="356" s="44" customFormat="1" x14ac:dyDescent="0.3"/>
    <row r="357" s="44" customFormat="1" x14ac:dyDescent="0.3"/>
    <row r="358" s="44" customFormat="1" x14ac:dyDescent="0.3"/>
    <row r="359" s="44" customFormat="1" x14ac:dyDescent="0.3"/>
    <row r="360" s="44" customFormat="1" x14ac:dyDescent="0.3"/>
    <row r="361" s="44" customFormat="1" x14ac:dyDescent="0.3"/>
    <row r="362" s="44" customFormat="1" x14ac:dyDescent="0.3"/>
    <row r="363" s="44" customFormat="1" x14ac:dyDescent="0.3"/>
    <row r="364" s="44" customFormat="1" x14ac:dyDescent="0.3"/>
    <row r="365" s="44" customFormat="1" x14ac:dyDescent="0.3"/>
    <row r="366" s="44" customFormat="1" x14ac:dyDescent="0.3"/>
    <row r="367" s="44" customFormat="1" x14ac:dyDescent="0.3"/>
    <row r="368" s="44" customFormat="1" x14ac:dyDescent="0.3"/>
    <row r="369" s="44" customFormat="1" x14ac:dyDescent="0.3"/>
    <row r="370" s="44" customFormat="1" x14ac:dyDescent="0.3"/>
    <row r="371" s="44" customFormat="1" x14ac:dyDescent="0.3"/>
    <row r="372" s="44" customFormat="1" x14ac:dyDescent="0.3"/>
    <row r="373" s="44" customFormat="1" x14ac:dyDescent="0.3"/>
    <row r="374" s="44" customFormat="1" x14ac:dyDescent="0.3"/>
    <row r="375" s="44" customFormat="1" x14ac:dyDescent="0.3"/>
    <row r="376" s="44" customFormat="1" x14ac:dyDescent="0.3"/>
    <row r="377" s="44" customFormat="1" x14ac:dyDescent="0.3"/>
    <row r="378" s="44" customFormat="1" x14ac:dyDescent="0.3"/>
    <row r="379" s="44" customFormat="1" x14ac:dyDescent="0.3"/>
    <row r="380" s="44" customFormat="1" x14ac:dyDescent="0.3"/>
    <row r="381" s="44" customFormat="1" x14ac:dyDescent="0.3"/>
    <row r="382" s="44" customFormat="1" x14ac:dyDescent="0.3"/>
    <row r="383" s="44" customFormat="1" x14ac:dyDescent="0.3"/>
    <row r="384" s="44" customFormat="1" x14ac:dyDescent="0.3"/>
    <row r="385" s="44" customFormat="1" x14ac:dyDescent="0.3"/>
    <row r="386" s="44" customFormat="1" x14ac:dyDescent="0.3"/>
    <row r="387" s="44" customFormat="1" x14ac:dyDescent="0.3"/>
    <row r="388" s="44" customFormat="1" x14ac:dyDescent="0.3"/>
    <row r="389" s="44" customFormat="1" x14ac:dyDescent="0.3"/>
    <row r="390" s="44" customFormat="1" x14ac:dyDescent="0.3"/>
    <row r="391" s="44" customFormat="1" x14ac:dyDescent="0.3"/>
    <row r="392" s="44" customFormat="1" x14ac:dyDescent="0.3"/>
    <row r="393" s="44" customFormat="1" x14ac:dyDescent="0.3"/>
    <row r="394" s="44" customFormat="1" x14ac:dyDescent="0.3"/>
    <row r="395" s="44" customFormat="1" x14ac:dyDescent="0.3"/>
    <row r="396" s="44" customFormat="1" x14ac:dyDescent="0.3"/>
    <row r="397" s="44" customFormat="1" x14ac:dyDescent="0.3"/>
    <row r="398" s="44" customFormat="1" x14ac:dyDescent="0.3"/>
    <row r="399" s="44" customFormat="1" x14ac:dyDescent="0.3"/>
    <row r="400" s="44" customFormat="1" x14ac:dyDescent="0.3"/>
    <row r="401" s="44" customFormat="1" x14ac:dyDescent="0.3"/>
    <row r="402" s="44" customFormat="1" x14ac:dyDescent="0.3"/>
    <row r="403" s="44" customFormat="1" x14ac:dyDescent="0.3"/>
    <row r="404" s="44" customFormat="1" x14ac:dyDescent="0.3"/>
    <row r="405" s="44" customFormat="1" x14ac:dyDescent="0.3"/>
    <row r="406" s="44" customFormat="1" x14ac:dyDescent="0.3"/>
    <row r="407" s="44" customFormat="1" x14ac:dyDescent="0.3"/>
    <row r="408" s="44" customFormat="1" x14ac:dyDescent="0.3"/>
    <row r="409" s="44" customFormat="1" x14ac:dyDescent="0.3"/>
    <row r="410" s="44" customFormat="1" x14ac:dyDescent="0.3"/>
    <row r="411" s="44" customFormat="1" x14ac:dyDescent="0.3"/>
    <row r="412" s="44" customFormat="1" x14ac:dyDescent="0.3"/>
    <row r="413" s="44" customFormat="1" x14ac:dyDescent="0.3"/>
    <row r="414" s="44" customFormat="1" x14ac:dyDescent="0.3"/>
    <row r="415" s="44" customFormat="1" x14ac:dyDescent="0.3"/>
    <row r="416" s="44" customFormat="1" x14ac:dyDescent="0.3"/>
    <row r="417" s="44" customFormat="1" x14ac:dyDescent="0.3"/>
    <row r="418" s="44" customFormat="1" x14ac:dyDescent="0.3"/>
    <row r="419" s="44" customFormat="1" x14ac:dyDescent="0.3"/>
    <row r="420" s="44" customFormat="1" x14ac:dyDescent="0.3"/>
    <row r="421" s="44" customFormat="1" x14ac:dyDescent="0.3"/>
    <row r="422" s="44" customFormat="1" x14ac:dyDescent="0.3"/>
    <row r="423" s="44" customFormat="1" x14ac:dyDescent="0.3"/>
    <row r="424" s="44" customFormat="1" x14ac:dyDescent="0.3"/>
    <row r="425" s="44" customFormat="1" x14ac:dyDescent="0.3"/>
    <row r="426" s="44" customFormat="1" x14ac:dyDescent="0.3"/>
    <row r="427" s="44" customFormat="1" x14ac:dyDescent="0.3"/>
    <row r="428" s="44" customFormat="1" x14ac:dyDescent="0.3"/>
    <row r="429" s="44" customFormat="1" x14ac:dyDescent="0.3"/>
    <row r="430" s="44" customFormat="1" x14ac:dyDescent="0.3"/>
    <row r="431" s="44" customFormat="1" x14ac:dyDescent="0.3"/>
    <row r="432" s="44" customFormat="1" x14ac:dyDescent="0.3"/>
    <row r="433" s="44" customFormat="1" x14ac:dyDescent="0.3"/>
    <row r="434" s="44" customFormat="1" x14ac:dyDescent="0.3"/>
    <row r="435" s="44" customFormat="1" x14ac:dyDescent="0.3"/>
    <row r="436" s="44" customFormat="1" x14ac:dyDescent="0.3"/>
    <row r="437" s="44" customFormat="1" x14ac:dyDescent="0.3"/>
    <row r="438" s="44" customFormat="1" x14ac:dyDescent="0.3"/>
    <row r="439" s="44" customFormat="1" x14ac:dyDescent="0.3"/>
    <row r="440" s="44" customFormat="1" x14ac:dyDescent="0.3"/>
    <row r="441" s="44" customFormat="1" x14ac:dyDescent="0.3"/>
    <row r="442" s="44" customFormat="1" x14ac:dyDescent="0.3"/>
    <row r="443" s="44" customFormat="1" x14ac:dyDescent="0.3"/>
    <row r="444" s="44" customFormat="1" x14ac:dyDescent="0.3"/>
    <row r="445" s="44" customFormat="1" x14ac:dyDescent="0.3"/>
    <row r="446" s="44" customFormat="1" x14ac:dyDescent="0.3"/>
    <row r="447" s="44" customFormat="1" x14ac:dyDescent="0.3"/>
    <row r="448" s="44" customFormat="1" x14ac:dyDescent="0.3"/>
    <row r="449" s="44" customFormat="1" x14ac:dyDescent="0.3"/>
    <row r="450" s="44" customFormat="1" x14ac:dyDescent="0.3"/>
    <row r="451" s="44" customFormat="1" x14ac:dyDescent="0.3"/>
    <row r="452" s="44" customFormat="1" x14ac:dyDescent="0.3"/>
    <row r="453" s="44" customFormat="1" x14ac:dyDescent="0.3"/>
    <row r="454" s="44" customFormat="1" x14ac:dyDescent="0.3"/>
    <row r="455" s="44" customFormat="1" x14ac:dyDescent="0.3"/>
    <row r="456" s="44" customFormat="1" x14ac:dyDescent="0.3"/>
    <row r="457" s="44" customFormat="1" x14ac:dyDescent="0.3"/>
    <row r="458" s="44" customFormat="1" x14ac:dyDescent="0.3"/>
    <row r="459" s="44" customFormat="1" x14ac:dyDescent="0.3"/>
    <row r="460" s="44" customFormat="1" x14ac:dyDescent="0.3"/>
    <row r="461" s="44" customFormat="1" x14ac:dyDescent="0.3"/>
    <row r="462" s="44" customFormat="1" x14ac:dyDescent="0.3"/>
    <row r="463" s="44" customFormat="1" x14ac:dyDescent="0.3"/>
    <row r="464" s="44" customFormat="1" x14ac:dyDescent="0.3"/>
    <row r="465" s="44" customFormat="1" x14ac:dyDescent="0.3"/>
    <row r="466" s="44" customFormat="1" x14ac:dyDescent="0.3"/>
    <row r="467" s="44" customFormat="1" x14ac:dyDescent="0.3"/>
    <row r="468" s="44" customFormat="1" x14ac:dyDescent="0.3"/>
    <row r="469" s="44" customFormat="1" x14ac:dyDescent="0.3"/>
    <row r="470" s="44" customFormat="1" x14ac:dyDescent="0.3"/>
    <row r="471" s="44" customFormat="1" x14ac:dyDescent="0.3"/>
    <row r="472" s="44" customFormat="1" x14ac:dyDescent="0.3"/>
    <row r="473" s="44" customFormat="1" x14ac:dyDescent="0.3"/>
    <row r="474" s="44" customFormat="1" x14ac:dyDescent="0.3"/>
    <row r="475" s="44" customFormat="1" x14ac:dyDescent="0.3"/>
    <row r="476" s="44" customFormat="1" x14ac:dyDescent="0.3"/>
    <row r="477" s="44" customFormat="1" x14ac:dyDescent="0.3"/>
    <row r="478" s="44" customFormat="1" x14ac:dyDescent="0.3"/>
    <row r="479" s="44" customFormat="1" x14ac:dyDescent="0.3"/>
    <row r="480" s="44" customFormat="1" x14ac:dyDescent="0.3"/>
    <row r="481" s="44" customFormat="1" x14ac:dyDescent="0.3"/>
    <row r="482" s="44" customFormat="1" x14ac:dyDescent="0.3"/>
    <row r="483" s="44" customFormat="1" x14ac:dyDescent="0.3"/>
    <row r="484" s="44" customFormat="1" x14ac:dyDescent="0.3"/>
    <row r="485" s="44" customFormat="1" x14ac:dyDescent="0.3"/>
    <row r="486" s="44" customFormat="1" x14ac:dyDescent="0.3"/>
    <row r="487" s="44" customFormat="1" x14ac:dyDescent="0.3"/>
  </sheetData>
  <mergeCells count="12">
    <mergeCell ref="AC2:AF2"/>
    <mergeCell ref="W2:AB2"/>
    <mergeCell ref="A2:D2"/>
    <mergeCell ref="E2:I2"/>
    <mergeCell ref="J2:N2"/>
    <mergeCell ref="O2:S2"/>
    <mergeCell ref="T2:V2"/>
    <mergeCell ref="AX2:AZ2"/>
    <mergeCell ref="AR2:AT2"/>
    <mergeCell ref="AN2:AP2"/>
    <mergeCell ref="AJ2:AL2"/>
    <mergeCell ref="AG2:AI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73"/>
  <sheetViews>
    <sheetView topLeftCell="AL37" workbookViewId="0">
      <selection activeCell="BD19" sqref="BD19"/>
    </sheetView>
  </sheetViews>
  <sheetFormatPr defaultRowHeight="14.4" x14ac:dyDescent="0.3"/>
  <cols>
    <col min="2" max="2" width="10.6640625" customWidth="1"/>
    <col min="6" max="6" width="10.44140625" customWidth="1"/>
    <col min="8" max="8" width="8.88671875" style="46"/>
    <col min="9" max="9" width="10.6640625" customWidth="1"/>
    <col min="12" max="12" width="8.88671875" style="46"/>
    <col min="13" max="13" width="10.6640625" customWidth="1"/>
    <col min="14" max="15" width="10.33203125" customWidth="1"/>
    <col min="16" max="16" width="11" customWidth="1"/>
    <col min="17" max="17" width="13.33203125" customWidth="1"/>
    <col min="18" max="18" width="10.33203125" customWidth="1"/>
    <col min="19" max="19" width="11" customWidth="1"/>
    <col min="20" max="20" width="13.33203125" customWidth="1"/>
    <col min="22" max="22" width="11.77734375" customWidth="1"/>
    <col min="23" max="23" width="12.109375" customWidth="1"/>
    <col min="25" max="25" width="12" customWidth="1"/>
    <col min="26" max="26" width="11.77734375" customWidth="1"/>
    <col min="28" max="28" width="11.44140625" customWidth="1"/>
    <col min="29" max="29" width="11.33203125" customWidth="1"/>
    <col min="30" max="30" width="8.88671875" style="423"/>
    <col min="31" max="31" width="11.5546875" style="423" customWidth="1"/>
    <col min="32" max="32" width="10.33203125" style="423" customWidth="1"/>
    <col min="33" max="33" width="8.88671875" style="423"/>
    <col min="34" max="34" width="11.5546875" style="423" customWidth="1"/>
    <col min="35" max="35" width="10.33203125" style="423" customWidth="1"/>
    <col min="37" max="37" width="10.33203125" customWidth="1"/>
    <col min="38" max="38" width="9.77734375" customWidth="1"/>
    <col min="40" max="40" width="11.5546875" customWidth="1"/>
    <col min="43" max="43" width="11.109375" customWidth="1"/>
    <col min="44" max="44" width="10.5546875" customWidth="1"/>
    <col min="46" max="46" width="10.77734375" customWidth="1"/>
    <col min="47" max="47" width="10.6640625" customWidth="1"/>
    <col min="49" max="49" width="10.33203125" customWidth="1"/>
    <col min="50" max="50" width="9.77734375" customWidth="1"/>
    <col min="52" max="52" width="10.33203125" customWidth="1"/>
    <col min="53" max="53" width="9.77734375" customWidth="1"/>
  </cols>
  <sheetData>
    <row r="2" spans="1:53" x14ac:dyDescent="0.3">
      <c r="A2" s="506" t="s">
        <v>169</v>
      </c>
      <c r="B2" s="506"/>
      <c r="C2" s="506"/>
      <c r="D2" s="93"/>
      <c r="E2" s="506" t="s">
        <v>177</v>
      </c>
      <c r="F2" s="506"/>
      <c r="G2" s="506"/>
      <c r="H2" s="506" t="s">
        <v>182</v>
      </c>
      <c r="I2" s="506"/>
      <c r="J2" s="506"/>
      <c r="K2" s="93"/>
      <c r="L2" s="506" t="s">
        <v>188</v>
      </c>
      <c r="M2" s="506"/>
      <c r="N2" s="506"/>
      <c r="O2" s="506" t="s">
        <v>229</v>
      </c>
      <c r="P2" s="506"/>
      <c r="Q2" s="501"/>
      <c r="R2" s="518" t="s">
        <v>232</v>
      </c>
      <c r="S2" s="506"/>
      <c r="T2" s="501"/>
      <c r="U2" s="501" t="s">
        <v>235</v>
      </c>
      <c r="V2" s="502"/>
      <c r="W2" s="502"/>
      <c r="X2" s="517" t="s">
        <v>240</v>
      </c>
      <c r="Y2" s="502"/>
      <c r="Z2" s="513"/>
      <c r="AA2" s="517" t="s">
        <v>248</v>
      </c>
      <c r="AB2" s="502"/>
      <c r="AC2" s="513"/>
      <c r="AD2" s="502" t="s">
        <v>259</v>
      </c>
      <c r="AE2" s="502"/>
      <c r="AF2" s="513"/>
      <c r="AG2" s="517" t="s">
        <v>279</v>
      </c>
      <c r="AH2" s="502"/>
      <c r="AI2" s="513"/>
      <c r="AJ2" s="502" t="s">
        <v>286</v>
      </c>
      <c r="AK2" s="502"/>
      <c r="AL2" s="513"/>
      <c r="AM2" s="514" t="s">
        <v>169</v>
      </c>
      <c r="AN2" s="515"/>
      <c r="AO2" s="516"/>
      <c r="AP2" s="514" t="s">
        <v>177</v>
      </c>
      <c r="AQ2" s="515"/>
      <c r="AR2" s="516"/>
      <c r="AS2" s="511" t="s">
        <v>182</v>
      </c>
      <c r="AT2" s="506"/>
      <c r="AU2" s="512"/>
      <c r="AV2" s="502" t="s">
        <v>188</v>
      </c>
      <c r="AW2" s="502"/>
      <c r="AX2" s="502"/>
      <c r="AY2" s="517" t="s">
        <v>229</v>
      </c>
      <c r="AZ2" s="502"/>
      <c r="BA2" s="513"/>
    </row>
    <row r="3" spans="1:53" ht="43.2" x14ac:dyDescent="0.3">
      <c r="A3" s="170" t="s">
        <v>170</v>
      </c>
      <c r="B3" s="85" t="s">
        <v>172</v>
      </c>
      <c r="C3" s="86" t="s">
        <v>171</v>
      </c>
      <c r="D3" s="170" t="s">
        <v>406</v>
      </c>
      <c r="E3" s="170" t="s">
        <v>170</v>
      </c>
      <c r="F3" s="85" t="s">
        <v>172</v>
      </c>
      <c r="G3" s="86" t="s">
        <v>171</v>
      </c>
      <c r="H3" s="170" t="s">
        <v>170</v>
      </c>
      <c r="I3" s="85" t="s">
        <v>172</v>
      </c>
      <c r="J3" s="86" t="s">
        <v>171</v>
      </c>
      <c r="K3" s="170" t="s">
        <v>406</v>
      </c>
      <c r="L3" s="170" t="s">
        <v>170</v>
      </c>
      <c r="M3" s="85" t="s">
        <v>172</v>
      </c>
      <c r="N3" s="86" t="s">
        <v>171</v>
      </c>
      <c r="O3" s="170" t="s">
        <v>170</v>
      </c>
      <c r="P3" s="85" t="s">
        <v>172</v>
      </c>
      <c r="Q3" s="411" t="s">
        <v>171</v>
      </c>
      <c r="R3" s="413" t="s">
        <v>170</v>
      </c>
      <c r="S3" s="85" t="s">
        <v>172</v>
      </c>
      <c r="T3" s="411" t="s">
        <v>171</v>
      </c>
      <c r="U3" s="170" t="s">
        <v>170</v>
      </c>
      <c r="V3" s="85" t="s">
        <v>172</v>
      </c>
      <c r="W3" s="411" t="s">
        <v>171</v>
      </c>
      <c r="X3" s="426" t="s">
        <v>170</v>
      </c>
      <c r="Y3" s="85" t="s">
        <v>172</v>
      </c>
      <c r="Z3" s="427" t="s">
        <v>171</v>
      </c>
      <c r="AA3" s="426" t="s">
        <v>170</v>
      </c>
      <c r="AB3" s="85" t="s">
        <v>172</v>
      </c>
      <c r="AC3" s="427" t="s">
        <v>171</v>
      </c>
      <c r="AD3" s="431" t="s">
        <v>170</v>
      </c>
      <c r="AE3" s="85" t="s">
        <v>172</v>
      </c>
      <c r="AF3" s="427" t="s">
        <v>171</v>
      </c>
      <c r="AG3" s="426" t="s">
        <v>170</v>
      </c>
      <c r="AH3" s="85" t="s">
        <v>172</v>
      </c>
      <c r="AI3" s="427" t="s">
        <v>171</v>
      </c>
      <c r="AJ3" s="431" t="s">
        <v>170</v>
      </c>
      <c r="AK3" s="85" t="s">
        <v>172</v>
      </c>
      <c r="AL3" s="427" t="s">
        <v>171</v>
      </c>
      <c r="AM3" s="466" t="s">
        <v>170</v>
      </c>
      <c r="AN3" s="467" t="s">
        <v>172</v>
      </c>
      <c r="AO3" s="468" t="s">
        <v>171</v>
      </c>
      <c r="AP3" s="466" t="s">
        <v>170</v>
      </c>
      <c r="AQ3" s="467" t="s">
        <v>172</v>
      </c>
      <c r="AR3" s="468" t="s">
        <v>171</v>
      </c>
      <c r="AS3" s="466" t="s">
        <v>170</v>
      </c>
      <c r="AT3" s="467" t="s">
        <v>172</v>
      </c>
      <c r="AU3" s="468" t="s">
        <v>171</v>
      </c>
      <c r="AV3" s="431" t="s">
        <v>170</v>
      </c>
      <c r="AW3" s="85" t="s">
        <v>172</v>
      </c>
      <c r="AX3" s="411" t="s">
        <v>171</v>
      </c>
      <c r="AY3" s="426" t="s">
        <v>170</v>
      </c>
      <c r="AZ3" s="85" t="s">
        <v>172</v>
      </c>
      <c r="BA3" s="427" t="s">
        <v>171</v>
      </c>
    </row>
    <row r="4" spans="1:53" ht="14.4" customHeight="1" x14ac:dyDescent="0.3">
      <c r="A4" s="357">
        <v>5</v>
      </c>
      <c r="B4" s="377">
        <v>45678</v>
      </c>
      <c r="C4" s="378">
        <v>2700</v>
      </c>
      <c r="D4" s="93"/>
      <c r="E4" s="93">
        <v>3</v>
      </c>
      <c r="F4" s="93" t="s">
        <v>489</v>
      </c>
      <c r="G4" s="93">
        <v>5000</v>
      </c>
      <c r="H4" s="357">
        <v>3</v>
      </c>
      <c r="I4" s="377" t="s">
        <v>502</v>
      </c>
      <c r="J4" s="378">
        <v>5000</v>
      </c>
      <c r="K4" s="93"/>
      <c r="L4" s="357">
        <v>3</v>
      </c>
      <c r="M4" s="389" t="s">
        <v>516</v>
      </c>
      <c r="N4" s="395">
        <v>12000</v>
      </c>
      <c r="O4" s="93">
        <v>6</v>
      </c>
      <c r="P4" s="93" t="s">
        <v>543</v>
      </c>
      <c r="Q4" s="412">
        <v>917</v>
      </c>
      <c r="R4" s="414">
        <v>3</v>
      </c>
      <c r="S4" s="406">
        <v>45817.856354166754</v>
      </c>
      <c r="T4" s="420">
        <v>5100</v>
      </c>
      <c r="U4" s="93">
        <v>5</v>
      </c>
      <c r="V4" s="160">
        <v>45878</v>
      </c>
      <c r="W4" s="442">
        <v>1834</v>
      </c>
      <c r="X4" s="429">
        <v>5</v>
      </c>
      <c r="Y4" s="160">
        <v>45878</v>
      </c>
      <c r="Z4" s="448">
        <v>1834</v>
      </c>
      <c r="AA4" s="429">
        <v>7</v>
      </c>
      <c r="AB4" s="160">
        <v>45916</v>
      </c>
      <c r="AC4" s="448">
        <v>7200</v>
      </c>
      <c r="AD4" s="443">
        <v>6</v>
      </c>
      <c r="AE4" s="424" t="s">
        <v>560</v>
      </c>
      <c r="AF4" s="438">
        <v>2457.34</v>
      </c>
      <c r="AG4" s="432">
        <v>5</v>
      </c>
      <c r="AH4" s="390" t="s">
        <v>577</v>
      </c>
      <c r="AI4" s="433">
        <v>4375</v>
      </c>
      <c r="AJ4" s="449">
        <v>6</v>
      </c>
      <c r="AK4" s="93" t="s">
        <v>593</v>
      </c>
      <c r="AL4" s="428">
        <v>2083.34</v>
      </c>
      <c r="AM4" s="429">
        <v>14</v>
      </c>
      <c r="AN4" s="160">
        <v>46036</v>
      </c>
      <c r="AO4" s="448">
        <v>1050</v>
      </c>
      <c r="AP4" s="429">
        <v>3</v>
      </c>
      <c r="AQ4" s="160">
        <v>46061</v>
      </c>
      <c r="AR4" s="448">
        <v>3334</v>
      </c>
      <c r="AS4" s="429">
        <v>2</v>
      </c>
      <c r="AT4" s="160">
        <v>46085</v>
      </c>
      <c r="AU4" s="428">
        <v>15375</v>
      </c>
      <c r="AV4" s="476">
        <v>6</v>
      </c>
      <c r="AW4" s="390" t="s">
        <v>611</v>
      </c>
      <c r="AX4" s="523">
        <v>1041.67</v>
      </c>
      <c r="AY4" s="432">
        <v>3</v>
      </c>
      <c r="AZ4" s="527" t="s">
        <v>633</v>
      </c>
      <c r="BA4" s="528">
        <v>4166</v>
      </c>
    </row>
    <row r="5" spans="1:53" ht="14.4" customHeight="1" x14ac:dyDescent="0.3">
      <c r="A5" s="357">
        <v>6</v>
      </c>
      <c r="B5" s="377">
        <v>45677</v>
      </c>
      <c r="C5" s="379">
        <v>917</v>
      </c>
      <c r="D5" s="93"/>
      <c r="E5" s="93">
        <v>6</v>
      </c>
      <c r="F5" s="160">
        <v>45711</v>
      </c>
      <c r="G5" s="93">
        <v>917</v>
      </c>
      <c r="H5" s="357">
        <v>6</v>
      </c>
      <c r="I5" s="377" t="s">
        <v>503</v>
      </c>
      <c r="J5" s="379">
        <v>917</v>
      </c>
      <c r="K5" s="93"/>
      <c r="L5" s="357">
        <v>5</v>
      </c>
      <c r="M5" s="390" t="s">
        <v>517</v>
      </c>
      <c r="N5" s="396">
        <v>2000</v>
      </c>
      <c r="O5" s="93">
        <v>10</v>
      </c>
      <c r="P5" s="93" t="s">
        <v>543</v>
      </c>
      <c r="Q5" s="412">
        <v>917</v>
      </c>
      <c r="R5" s="414">
        <v>5</v>
      </c>
      <c r="S5" s="407">
        <v>45817.427939814981</v>
      </c>
      <c r="T5" s="421">
        <v>2600</v>
      </c>
      <c r="U5" s="93">
        <v>6</v>
      </c>
      <c r="V5" s="160">
        <v>45900</v>
      </c>
      <c r="W5" s="156">
        <v>917</v>
      </c>
      <c r="X5" s="429">
        <v>6</v>
      </c>
      <c r="Y5" s="160">
        <v>45900</v>
      </c>
      <c r="Z5" s="428">
        <v>917</v>
      </c>
      <c r="AA5" s="429">
        <v>8</v>
      </c>
      <c r="AB5" s="160">
        <v>45916</v>
      </c>
      <c r="AC5" s="428">
        <v>700</v>
      </c>
      <c r="AD5" s="444">
        <v>7</v>
      </c>
      <c r="AE5" s="424" t="s">
        <v>561</v>
      </c>
      <c r="AF5" s="438">
        <v>1500</v>
      </c>
      <c r="AG5" s="432">
        <v>14</v>
      </c>
      <c r="AH5" s="390" t="s">
        <v>578</v>
      </c>
      <c r="AI5" s="433">
        <v>1050</v>
      </c>
      <c r="AJ5" s="449">
        <v>10</v>
      </c>
      <c r="AK5" s="93" t="s">
        <v>593</v>
      </c>
      <c r="AL5" s="428">
        <v>2083.34</v>
      </c>
      <c r="AM5" s="429">
        <v>19</v>
      </c>
      <c r="AN5" s="160">
        <v>46043</v>
      </c>
      <c r="AO5" s="448">
        <v>5000</v>
      </c>
      <c r="AP5" s="429">
        <v>5</v>
      </c>
      <c r="AQ5" s="160">
        <v>46067</v>
      </c>
      <c r="AR5" s="448">
        <v>3125</v>
      </c>
      <c r="AS5" s="429">
        <v>6</v>
      </c>
      <c r="AT5" s="160">
        <v>46106</v>
      </c>
      <c r="AU5" s="428">
        <v>1041.67</v>
      </c>
      <c r="AV5" s="476">
        <v>10</v>
      </c>
      <c r="AW5" s="390" t="s">
        <v>611</v>
      </c>
      <c r="AX5" s="523">
        <v>1041.67</v>
      </c>
      <c r="AY5" s="524">
        <v>6</v>
      </c>
      <c r="AZ5" s="525" t="s">
        <v>634</v>
      </c>
      <c r="BA5" s="529">
        <v>1041.67</v>
      </c>
    </row>
    <row r="6" spans="1:53" ht="14.4" customHeight="1" x14ac:dyDescent="0.3">
      <c r="A6" s="357">
        <v>9</v>
      </c>
      <c r="B6" s="377">
        <v>45658</v>
      </c>
      <c r="C6" s="379">
        <v>1000</v>
      </c>
      <c r="D6" s="93"/>
      <c r="E6" s="93">
        <v>9</v>
      </c>
      <c r="F6" s="160">
        <v>45714</v>
      </c>
      <c r="G6" s="93">
        <v>1000</v>
      </c>
      <c r="H6" s="357">
        <v>7</v>
      </c>
      <c r="I6" s="377" t="s">
        <v>504</v>
      </c>
      <c r="J6" s="379">
        <v>2750</v>
      </c>
      <c r="K6" s="93"/>
      <c r="L6" s="357">
        <v>6</v>
      </c>
      <c r="M6" s="390" t="s">
        <v>517</v>
      </c>
      <c r="N6" s="396">
        <v>917</v>
      </c>
      <c r="O6" s="93">
        <v>11</v>
      </c>
      <c r="P6" s="93" t="s">
        <v>543</v>
      </c>
      <c r="Q6" s="412">
        <v>917</v>
      </c>
      <c r="R6" s="414">
        <v>6</v>
      </c>
      <c r="S6" s="408">
        <v>45828.574814814609</v>
      </c>
      <c r="T6" s="422">
        <v>917</v>
      </c>
      <c r="U6" s="93">
        <v>9</v>
      </c>
      <c r="V6" s="160">
        <v>45875</v>
      </c>
      <c r="W6" s="442">
        <v>1000</v>
      </c>
      <c r="X6" s="429">
        <v>9</v>
      </c>
      <c r="Y6" s="160">
        <v>45875</v>
      </c>
      <c r="Z6" s="448">
        <v>1000</v>
      </c>
      <c r="AA6" s="429">
        <v>9</v>
      </c>
      <c r="AB6" s="160">
        <v>45906</v>
      </c>
      <c r="AC6" s="448">
        <v>1000</v>
      </c>
      <c r="AD6" s="444">
        <v>8</v>
      </c>
      <c r="AE6" s="424" t="s">
        <v>561</v>
      </c>
      <c r="AF6" s="438">
        <v>1500</v>
      </c>
      <c r="AG6" s="432">
        <v>18</v>
      </c>
      <c r="AH6" s="390" t="s">
        <v>579</v>
      </c>
      <c r="AI6" s="433">
        <v>6250</v>
      </c>
      <c r="AJ6" s="449">
        <v>11</v>
      </c>
      <c r="AK6" s="93" t="s">
        <v>593</v>
      </c>
      <c r="AL6" s="428">
        <v>2083.34</v>
      </c>
      <c r="AM6" s="429">
        <v>28</v>
      </c>
      <c r="AN6" s="160">
        <v>46037</v>
      </c>
      <c r="AO6" s="448">
        <v>6250</v>
      </c>
      <c r="AP6" s="429">
        <v>6</v>
      </c>
      <c r="AQ6" s="160">
        <v>46075</v>
      </c>
      <c r="AR6" s="448">
        <v>2083.34</v>
      </c>
      <c r="AS6" s="429">
        <v>10</v>
      </c>
      <c r="AT6" s="160">
        <v>46106</v>
      </c>
      <c r="AU6" s="428">
        <v>1041.67</v>
      </c>
      <c r="AV6" s="476">
        <v>11</v>
      </c>
      <c r="AW6" s="390" t="s">
        <v>611</v>
      </c>
      <c r="AX6" s="523">
        <v>1041.67</v>
      </c>
      <c r="AY6" s="524">
        <v>9</v>
      </c>
      <c r="AZ6" s="525" t="s">
        <v>635</v>
      </c>
      <c r="BA6" s="529">
        <v>16000</v>
      </c>
    </row>
    <row r="7" spans="1:53" ht="14.4" customHeight="1" x14ac:dyDescent="0.3">
      <c r="A7" s="357">
        <v>10</v>
      </c>
      <c r="B7" s="380">
        <v>45677</v>
      </c>
      <c r="C7" s="379">
        <v>917</v>
      </c>
      <c r="D7" s="93"/>
      <c r="E7" s="93">
        <v>10</v>
      </c>
      <c r="F7" s="160">
        <v>45711</v>
      </c>
      <c r="G7" s="93">
        <v>917</v>
      </c>
      <c r="H7" s="357">
        <v>8</v>
      </c>
      <c r="I7" s="380" t="s">
        <v>504</v>
      </c>
      <c r="J7" s="379">
        <v>2750</v>
      </c>
      <c r="K7" s="93"/>
      <c r="L7" s="357">
        <v>9</v>
      </c>
      <c r="M7" s="390" t="s">
        <v>518</v>
      </c>
      <c r="N7" s="396">
        <v>1000</v>
      </c>
      <c r="O7" s="93">
        <v>14</v>
      </c>
      <c r="P7" s="93" t="s">
        <v>537</v>
      </c>
      <c r="Q7" s="412">
        <v>917</v>
      </c>
      <c r="R7" s="414">
        <v>7</v>
      </c>
      <c r="S7" s="408">
        <v>45817.651759259403</v>
      </c>
      <c r="T7" s="422">
        <v>11000</v>
      </c>
      <c r="U7" s="93">
        <v>10</v>
      </c>
      <c r="V7" s="160">
        <v>45900</v>
      </c>
      <c r="W7" s="156">
        <v>917</v>
      </c>
      <c r="X7" s="429">
        <v>10</v>
      </c>
      <c r="Y7" s="160">
        <v>45900</v>
      </c>
      <c r="Z7" s="428">
        <v>917</v>
      </c>
      <c r="AA7" s="429">
        <v>14</v>
      </c>
      <c r="AB7" s="160">
        <v>45917</v>
      </c>
      <c r="AC7" s="448">
        <v>1417</v>
      </c>
      <c r="AD7" s="443">
        <v>9</v>
      </c>
      <c r="AE7" s="424" t="s">
        <v>562</v>
      </c>
      <c r="AF7" s="438">
        <v>1000</v>
      </c>
      <c r="AG7" s="432">
        <v>32</v>
      </c>
      <c r="AH7" s="390" t="s">
        <v>580</v>
      </c>
      <c r="AI7" s="433">
        <v>1025</v>
      </c>
      <c r="AJ7" s="449">
        <v>14</v>
      </c>
      <c r="AK7" s="93" t="s">
        <v>594</v>
      </c>
      <c r="AL7" s="428">
        <v>1050</v>
      </c>
      <c r="AM7" s="429">
        <v>32</v>
      </c>
      <c r="AN7" s="160">
        <v>46026</v>
      </c>
      <c r="AO7" s="448">
        <v>1042</v>
      </c>
      <c r="AP7" s="429">
        <v>9</v>
      </c>
      <c r="AQ7" s="160">
        <v>46073</v>
      </c>
      <c r="AR7" s="448">
        <v>21847</v>
      </c>
      <c r="AS7" s="429">
        <v>11</v>
      </c>
      <c r="AT7" s="160">
        <v>46106</v>
      </c>
      <c r="AU7" s="428">
        <v>1041.67</v>
      </c>
      <c r="AV7" s="476">
        <v>14</v>
      </c>
      <c r="AW7" s="390" t="s">
        <v>612</v>
      </c>
      <c r="AX7" s="523">
        <v>1050</v>
      </c>
      <c r="AY7" s="524">
        <v>10</v>
      </c>
      <c r="AZ7" s="525" t="s">
        <v>634</v>
      </c>
      <c r="BA7" s="529">
        <v>1041.67</v>
      </c>
    </row>
    <row r="8" spans="1:53" ht="14.4" customHeight="1" x14ac:dyDescent="0.3">
      <c r="A8" s="357">
        <v>11</v>
      </c>
      <c r="B8" s="380">
        <v>45677</v>
      </c>
      <c r="C8" s="381">
        <v>917</v>
      </c>
      <c r="D8" s="93"/>
      <c r="E8" s="93">
        <v>11</v>
      </c>
      <c r="F8" s="160">
        <v>45711</v>
      </c>
      <c r="G8" s="93">
        <v>917</v>
      </c>
      <c r="H8" s="357">
        <v>11</v>
      </c>
      <c r="I8" s="380" t="s">
        <v>503</v>
      </c>
      <c r="J8" s="381">
        <v>917</v>
      </c>
      <c r="K8" s="93"/>
      <c r="L8" s="357">
        <v>10</v>
      </c>
      <c r="M8" s="390" t="s">
        <v>517</v>
      </c>
      <c r="N8" s="396">
        <v>917</v>
      </c>
      <c r="O8" s="93">
        <v>17</v>
      </c>
      <c r="P8" s="93" t="s">
        <v>533</v>
      </c>
      <c r="Q8" s="412">
        <v>6400</v>
      </c>
      <c r="R8" s="414">
        <v>8</v>
      </c>
      <c r="S8" s="408">
        <v>45817.654976851773</v>
      </c>
      <c r="T8" s="422">
        <v>11000</v>
      </c>
      <c r="U8" s="93">
        <v>11</v>
      </c>
      <c r="V8" s="160">
        <v>45900</v>
      </c>
      <c r="W8" s="156">
        <v>917</v>
      </c>
      <c r="X8" s="429">
        <v>11</v>
      </c>
      <c r="Y8" s="160">
        <v>45900</v>
      </c>
      <c r="Z8" s="428">
        <v>917</v>
      </c>
      <c r="AA8" s="429">
        <v>18</v>
      </c>
      <c r="AB8" s="160">
        <v>45924</v>
      </c>
      <c r="AC8" s="428">
        <v>750</v>
      </c>
      <c r="AD8" s="443">
        <v>10</v>
      </c>
      <c r="AE8" s="424" t="s">
        <v>560</v>
      </c>
      <c r="AF8" s="438">
        <v>2457.34</v>
      </c>
      <c r="AG8" s="432">
        <v>40</v>
      </c>
      <c r="AH8" s="390" t="s">
        <v>581</v>
      </c>
      <c r="AI8" s="433">
        <v>2500</v>
      </c>
      <c r="AJ8" s="449">
        <v>15</v>
      </c>
      <c r="AK8" s="93" t="s">
        <v>595</v>
      </c>
      <c r="AL8" s="428">
        <v>10000</v>
      </c>
      <c r="AM8" s="429">
        <v>62</v>
      </c>
      <c r="AN8" s="160">
        <v>46028</v>
      </c>
      <c r="AO8" s="448">
        <v>7292</v>
      </c>
      <c r="AP8" s="429">
        <v>10</v>
      </c>
      <c r="AQ8" s="160">
        <v>46075</v>
      </c>
      <c r="AR8" s="448">
        <v>2083.34</v>
      </c>
      <c r="AS8" s="429">
        <v>14</v>
      </c>
      <c r="AT8" s="160">
        <v>46108</v>
      </c>
      <c r="AU8" s="428">
        <v>1050</v>
      </c>
      <c r="AV8" s="476">
        <v>17</v>
      </c>
      <c r="AW8" s="390" t="s">
        <v>613</v>
      </c>
      <c r="AX8" s="523">
        <v>10417</v>
      </c>
      <c r="AY8" s="524">
        <v>11</v>
      </c>
      <c r="AZ8" s="525" t="s">
        <v>634</v>
      </c>
      <c r="BA8" s="529">
        <v>1041.67</v>
      </c>
    </row>
    <row r="9" spans="1:53" ht="14.4" customHeight="1" x14ac:dyDescent="0.3">
      <c r="A9" s="357">
        <v>44</v>
      </c>
      <c r="B9" s="377">
        <v>45687</v>
      </c>
      <c r="C9" s="378"/>
      <c r="D9" s="93">
        <v>15000</v>
      </c>
      <c r="E9" s="93">
        <v>14</v>
      </c>
      <c r="F9" s="93" t="s">
        <v>490</v>
      </c>
      <c r="G9" s="93">
        <v>917</v>
      </c>
      <c r="H9" s="357">
        <v>10</v>
      </c>
      <c r="I9" s="377" t="s">
        <v>503</v>
      </c>
      <c r="J9" s="378">
        <v>917</v>
      </c>
      <c r="K9" s="93"/>
      <c r="L9" s="357">
        <v>11</v>
      </c>
      <c r="M9" s="390" t="s">
        <v>517</v>
      </c>
      <c r="N9" s="396">
        <v>917</v>
      </c>
      <c r="O9" s="93">
        <v>20</v>
      </c>
      <c r="P9" s="93" t="s">
        <v>533</v>
      </c>
      <c r="Q9" s="412">
        <v>2500</v>
      </c>
      <c r="R9" s="414">
        <v>9</v>
      </c>
      <c r="S9" s="408">
        <v>45817.536446759477</v>
      </c>
      <c r="T9" s="422">
        <v>1800</v>
      </c>
      <c r="U9" s="93">
        <v>14</v>
      </c>
      <c r="V9" s="160">
        <v>45890</v>
      </c>
      <c r="W9" s="156">
        <v>917</v>
      </c>
      <c r="X9" s="429">
        <v>14</v>
      </c>
      <c r="Y9" s="160">
        <v>45890</v>
      </c>
      <c r="Z9" s="428">
        <v>917</v>
      </c>
      <c r="AA9" s="429">
        <v>22</v>
      </c>
      <c r="AB9" s="160">
        <v>45904</v>
      </c>
      <c r="AC9" s="448">
        <v>6250</v>
      </c>
      <c r="AD9" s="443">
        <v>11</v>
      </c>
      <c r="AE9" s="424" t="s">
        <v>560</v>
      </c>
      <c r="AF9" s="438">
        <v>2457.34</v>
      </c>
      <c r="AG9" s="432">
        <v>41</v>
      </c>
      <c r="AH9" s="390" t="s">
        <v>582</v>
      </c>
      <c r="AI9" s="433">
        <v>1000</v>
      </c>
      <c r="AJ9" s="450">
        <v>26</v>
      </c>
      <c r="AK9" s="93" t="s">
        <v>596</v>
      </c>
      <c r="AL9" s="428">
        <v>3125</v>
      </c>
      <c r="AM9" s="429">
        <v>64</v>
      </c>
      <c r="AN9" s="160">
        <v>46041</v>
      </c>
      <c r="AO9" s="448">
        <v>5000</v>
      </c>
      <c r="AP9" s="429">
        <v>11</v>
      </c>
      <c r="AQ9" s="160">
        <v>46075</v>
      </c>
      <c r="AR9" s="448">
        <v>2083.34</v>
      </c>
      <c r="AS9" s="429">
        <v>19</v>
      </c>
      <c r="AT9" s="160">
        <v>46084</v>
      </c>
      <c r="AU9" s="428">
        <v>4000</v>
      </c>
      <c r="AV9" s="476">
        <v>30</v>
      </c>
      <c r="AW9" s="390" t="s">
        <v>613</v>
      </c>
      <c r="AX9" s="523">
        <v>3125</v>
      </c>
      <c r="AY9" s="524">
        <v>12</v>
      </c>
      <c r="AZ9" s="525" t="s">
        <v>636</v>
      </c>
      <c r="BA9" s="529">
        <v>12500</v>
      </c>
    </row>
    <row r="10" spans="1:53" ht="14.4" customHeight="1" x14ac:dyDescent="0.3">
      <c r="A10" s="357">
        <v>53</v>
      </c>
      <c r="B10" s="377">
        <v>45662</v>
      </c>
      <c r="C10" s="381">
        <v>4600</v>
      </c>
      <c r="D10" s="93"/>
      <c r="E10" s="93">
        <v>28</v>
      </c>
      <c r="F10" s="93" t="s">
        <v>490</v>
      </c>
      <c r="G10" s="93">
        <v>4584</v>
      </c>
      <c r="H10" s="357">
        <v>14</v>
      </c>
      <c r="I10" s="377" t="s">
        <v>505</v>
      </c>
      <c r="J10" s="381">
        <v>917</v>
      </c>
      <c r="K10" s="93"/>
      <c r="L10" s="391">
        <v>14</v>
      </c>
      <c r="M10" s="390" t="s">
        <v>519</v>
      </c>
      <c r="N10" s="396">
        <v>917</v>
      </c>
      <c r="O10" s="93">
        <v>22</v>
      </c>
      <c r="P10" s="93" t="s">
        <v>532</v>
      </c>
      <c r="Q10" s="412">
        <v>3000</v>
      </c>
      <c r="R10" s="414">
        <v>10</v>
      </c>
      <c r="S10" s="408">
        <v>45828.574027777649</v>
      </c>
      <c r="T10" s="422">
        <v>917</v>
      </c>
      <c r="U10" s="93">
        <v>20</v>
      </c>
      <c r="V10" s="160">
        <v>45873</v>
      </c>
      <c r="W10" s="442">
        <v>11000</v>
      </c>
      <c r="X10" s="429">
        <v>20</v>
      </c>
      <c r="Y10" s="160">
        <v>45873</v>
      </c>
      <c r="Z10" s="448">
        <v>11000</v>
      </c>
      <c r="AA10" s="429">
        <v>26</v>
      </c>
      <c r="AB10" s="160">
        <v>45917</v>
      </c>
      <c r="AC10" s="448">
        <v>3500</v>
      </c>
      <c r="AD10" s="443">
        <v>14</v>
      </c>
      <c r="AE10" s="424" t="s">
        <v>563</v>
      </c>
      <c r="AF10" s="438">
        <v>1042</v>
      </c>
      <c r="AG10" s="432">
        <v>42</v>
      </c>
      <c r="AH10" s="390" t="s">
        <v>580</v>
      </c>
      <c r="AI10" s="433">
        <v>1000</v>
      </c>
      <c r="AJ10" s="449">
        <v>30</v>
      </c>
      <c r="AK10" s="93" t="s">
        <v>597</v>
      </c>
      <c r="AL10" s="428">
        <v>3125</v>
      </c>
      <c r="AM10" s="429">
        <v>79</v>
      </c>
      <c r="AN10" s="160">
        <v>46031</v>
      </c>
      <c r="AO10" s="448">
        <v>6250</v>
      </c>
      <c r="AP10" s="429">
        <v>14</v>
      </c>
      <c r="AQ10" s="160">
        <v>46064</v>
      </c>
      <c r="AR10" s="448">
        <v>1050</v>
      </c>
      <c r="AS10" s="429">
        <v>25</v>
      </c>
      <c r="AT10" s="160">
        <v>46086</v>
      </c>
      <c r="AU10" s="428">
        <v>10075</v>
      </c>
      <c r="AV10" s="476">
        <v>31</v>
      </c>
      <c r="AW10" s="390" t="s">
        <v>613</v>
      </c>
      <c r="AX10" s="523">
        <v>3125</v>
      </c>
      <c r="AY10" s="524">
        <v>13</v>
      </c>
      <c r="AZ10" s="525" t="s">
        <v>636</v>
      </c>
      <c r="BA10" s="529">
        <v>16000</v>
      </c>
    </row>
    <row r="11" spans="1:53" ht="14.4" customHeight="1" x14ac:dyDescent="0.3">
      <c r="A11" s="357">
        <v>78</v>
      </c>
      <c r="B11" s="377">
        <v>45670</v>
      </c>
      <c r="C11" s="378">
        <v>3000</v>
      </c>
      <c r="D11" s="93"/>
      <c r="E11" s="93">
        <v>32</v>
      </c>
      <c r="F11" s="93" t="s">
        <v>491</v>
      </c>
      <c r="G11" s="93">
        <v>1850</v>
      </c>
      <c r="H11" s="357">
        <v>21</v>
      </c>
      <c r="I11" s="377" t="s">
        <v>506</v>
      </c>
      <c r="J11" s="378">
        <v>4600</v>
      </c>
      <c r="K11" s="93"/>
      <c r="L11" s="357">
        <v>15</v>
      </c>
      <c r="M11" s="390" t="s">
        <v>520</v>
      </c>
      <c r="N11" s="396">
        <v>5000</v>
      </c>
      <c r="O11" s="93">
        <v>22</v>
      </c>
      <c r="P11" s="93" t="s">
        <v>532</v>
      </c>
      <c r="Q11" s="412">
        <v>5500</v>
      </c>
      <c r="R11" s="414">
        <v>11</v>
      </c>
      <c r="S11" s="408">
        <v>45828.573414351791</v>
      </c>
      <c r="T11" s="422">
        <v>917</v>
      </c>
      <c r="U11" s="93">
        <v>32</v>
      </c>
      <c r="V11" s="160">
        <v>45873</v>
      </c>
      <c r="W11" s="156">
        <v>585</v>
      </c>
      <c r="X11" s="429">
        <v>32</v>
      </c>
      <c r="Y11" s="160">
        <v>45873</v>
      </c>
      <c r="Z11" s="428">
        <v>585</v>
      </c>
      <c r="AA11" s="429">
        <v>30</v>
      </c>
      <c r="AB11" s="160">
        <v>45928</v>
      </c>
      <c r="AC11" s="448">
        <v>3125</v>
      </c>
      <c r="AD11" s="443">
        <v>16</v>
      </c>
      <c r="AE11" s="424" t="s">
        <v>562</v>
      </c>
      <c r="AF11" s="438">
        <v>2467</v>
      </c>
      <c r="AG11" s="432">
        <v>43</v>
      </c>
      <c r="AH11" s="390" t="s">
        <v>580</v>
      </c>
      <c r="AI11" s="433">
        <v>1000</v>
      </c>
      <c r="AJ11" s="449">
        <v>31</v>
      </c>
      <c r="AK11" s="93" t="s">
        <v>597</v>
      </c>
      <c r="AL11" s="428">
        <v>3125</v>
      </c>
      <c r="AM11" s="429">
        <v>81</v>
      </c>
      <c r="AN11" s="160">
        <v>46034</v>
      </c>
      <c r="AO11" s="448">
        <v>7000</v>
      </c>
      <c r="AP11" s="429">
        <v>22</v>
      </c>
      <c r="AQ11" s="160">
        <v>46062</v>
      </c>
      <c r="AR11" s="448">
        <v>6250</v>
      </c>
      <c r="AS11" s="429">
        <v>26</v>
      </c>
      <c r="AT11" s="160">
        <v>46102</v>
      </c>
      <c r="AU11" s="428">
        <v>3125</v>
      </c>
      <c r="AV11" s="476">
        <v>32</v>
      </c>
      <c r="AW11" s="390" t="s">
        <v>614</v>
      </c>
      <c r="AX11" s="523">
        <v>2100</v>
      </c>
      <c r="AY11" s="432">
        <v>14</v>
      </c>
      <c r="AZ11" s="525" t="s">
        <v>538</v>
      </c>
      <c r="BA11" s="529">
        <v>1040</v>
      </c>
    </row>
    <row r="12" spans="1:53" ht="14.4" customHeight="1" x14ac:dyDescent="0.3">
      <c r="A12" s="364">
        <v>94</v>
      </c>
      <c r="B12" s="377">
        <v>45669</v>
      </c>
      <c r="C12" s="378">
        <v>11000</v>
      </c>
      <c r="D12" s="93"/>
      <c r="E12" s="93">
        <v>42</v>
      </c>
      <c r="F12" s="93" t="s">
        <v>492</v>
      </c>
      <c r="G12" s="93">
        <v>2000</v>
      </c>
      <c r="H12" s="364">
        <v>26</v>
      </c>
      <c r="I12" s="377" t="s">
        <v>507</v>
      </c>
      <c r="J12" s="378">
        <v>2750</v>
      </c>
      <c r="K12" s="93"/>
      <c r="L12" s="357">
        <v>24</v>
      </c>
      <c r="M12" s="390" t="s">
        <v>521</v>
      </c>
      <c r="N12" s="396">
        <v>8700</v>
      </c>
      <c r="O12" s="93">
        <v>41</v>
      </c>
      <c r="P12" s="93" t="s">
        <v>533</v>
      </c>
      <c r="Q12" s="412">
        <v>606</v>
      </c>
      <c r="R12" s="414">
        <v>12</v>
      </c>
      <c r="S12" s="408">
        <v>45811.795983796474</v>
      </c>
      <c r="T12" s="422">
        <v>8250</v>
      </c>
      <c r="U12" s="93">
        <v>40</v>
      </c>
      <c r="V12" s="160">
        <v>45880</v>
      </c>
      <c r="W12" s="442">
        <v>5000</v>
      </c>
      <c r="X12" s="429">
        <v>40</v>
      </c>
      <c r="Y12" s="160">
        <v>45880</v>
      </c>
      <c r="Z12" s="448">
        <v>5000</v>
      </c>
      <c r="AA12" s="429">
        <v>31</v>
      </c>
      <c r="AB12" s="160">
        <v>45928</v>
      </c>
      <c r="AC12" s="448">
        <v>3125</v>
      </c>
      <c r="AD12" s="443">
        <v>30</v>
      </c>
      <c r="AE12" s="424" t="s">
        <v>564</v>
      </c>
      <c r="AF12" s="438">
        <v>375</v>
      </c>
      <c r="AG12" s="432">
        <v>48</v>
      </c>
      <c r="AH12" s="390" t="s">
        <v>583</v>
      </c>
      <c r="AI12" s="433">
        <v>12500</v>
      </c>
      <c r="AJ12" s="449">
        <v>32</v>
      </c>
      <c r="AK12" s="93" t="s">
        <v>598</v>
      </c>
      <c r="AL12" s="428">
        <v>1040</v>
      </c>
      <c r="AM12" s="429">
        <v>90</v>
      </c>
      <c r="AN12" s="160">
        <v>46037</v>
      </c>
      <c r="AO12" s="448">
        <v>3125</v>
      </c>
      <c r="AP12" s="429">
        <v>32</v>
      </c>
      <c r="AQ12" s="160">
        <v>46071</v>
      </c>
      <c r="AR12" s="448">
        <v>1042</v>
      </c>
      <c r="AS12" s="429">
        <v>40</v>
      </c>
      <c r="AT12" s="160">
        <v>46090</v>
      </c>
      <c r="AU12" s="428">
        <v>5000</v>
      </c>
      <c r="AV12" s="476">
        <v>33</v>
      </c>
      <c r="AW12" s="390" t="s">
        <v>615</v>
      </c>
      <c r="AX12" s="523">
        <v>6250</v>
      </c>
      <c r="AY12" s="524">
        <v>15</v>
      </c>
      <c r="AZ12" s="525" t="s">
        <v>634</v>
      </c>
      <c r="BA12" s="529">
        <v>5000</v>
      </c>
    </row>
    <row r="13" spans="1:53" ht="14.4" customHeight="1" x14ac:dyDescent="0.3">
      <c r="A13" s="357">
        <v>101</v>
      </c>
      <c r="B13" s="377">
        <v>45669</v>
      </c>
      <c r="C13" s="378">
        <v>5000</v>
      </c>
      <c r="D13" s="93"/>
      <c r="E13" s="93">
        <v>43</v>
      </c>
      <c r="F13" s="93" t="s">
        <v>492</v>
      </c>
      <c r="G13" s="93">
        <v>2000</v>
      </c>
      <c r="H13" s="357">
        <v>30</v>
      </c>
      <c r="I13" s="377" t="s">
        <v>508</v>
      </c>
      <c r="J13" s="378">
        <v>2750</v>
      </c>
      <c r="K13" s="93"/>
      <c r="L13" s="392">
        <v>32</v>
      </c>
      <c r="M13" s="390" t="s">
        <v>522</v>
      </c>
      <c r="N13" s="396">
        <v>2500</v>
      </c>
      <c r="O13" s="93">
        <v>46</v>
      </c>
      <c r="P13" s="93" t="s">
        <v>533</v>
      </c>
      <c r="Q13" s="412">
        <v>1284</v>
      </c>
      <c r="R13" s="414">
        <v>13</v>
      </c>
      <c r="S13" s="408">
        <v>45811.797280092724</v>
      </c>
      <c r="T13" s="422">
        <v>8250</v>
      </c>
      <c r="U13" s="93">
        <v>41</v>
      </c>
      <c r="V13" s="160">
        <v>45881</v>
      </c>
      <c r="W13" s="442">
        <v>3000</v>
      </c>
      <c r="X13" s="429">
        <v>41</v>
      </c>
      <c r="Y13" s="160">
        <v>45881</v>
      </c>
      <c r="Z13" s="448">
        <v>3000</v>
      </c>
      <c r="AA13" s="429">
        <v>32</v>
      </c>
      <c r="AB13" s="160">
        <v>45908</v>
      </c>
      <c r="AC13" s="448">
        <v>1850</v>
      </c>
      <c r="AD13" s="443">
        <v>31</v>
      </c>
      <c r="AE13" s="424" t="s">
        <v>564</v>
      </c>
      <c r="AF13" s="438">
        <v>375</v>
      </c>
      <c r="AG13" s="432">
        <v>61</v>
      </c>
      <c r="AH13" s="390" t="s">
        <v>581</v>
      </c>
      <c r="AI13" s="433">
        <v>5209</v>
      </c>
      <c r="AJ13" s="449">
        <v>38</v>
      </c>
      <c r="AK13" s="93" t="s">
        <v>599</v>
      </c>
      <c r="AL13" s="428">
        <v>7000</v>
      </c>
      <c r="AM13" s="429">
        <v>91</v>
      </c>
      <c r="AN13" s="160">
        <v>46037</v>
      </c>
      <c r="AO13" s="448">
        <v>3125</v>
      </c>
      <c r="AP13" s="429">
        <v>41</v>
      </c>
      <c r="AQ13" s="160">
        <v>46058</v>
      </c>
      <c r="AR13" s="448">
        <v>1000</v>
      </c>
      <c r="AS13" s="429">
        <v>55</v>
      </c>
      <c r="AT13" s="160">
        <v>46100</v>
      </c>
      <c r="AU13" s="428">
        <v>4791</v>
      </c>
      <c r="AV13" s="476">
        <v>36</v>
      </c>
      <c r="AW13" s="390" t="s">
        <v>616</v>
      </c>
      <c r="AX13" s="523">
        <v>3000</v>
      </c>
      <c r="AY13" s="524">
        <v>27</v>
      </c>
      <c r="AZ13" s="525" t="s">
        <v>635</v>
      </c>
      <c r="BA13" s="529">
        <v>11459</v>
      </c>
    </row>
    <row r="14" spans="1:53" ht="14.4" customHeight="1" x14ac:dyDescent="0.3">
      <c r="A14" s="357" t="s">
        <v>276</v>
      </c>
      <c r="B14" s="377">
        <v>45669</v>
      </c>
      <c r="C14" s="378">
        <v>2500</v>
      </c>
      <c r="D14" s="93"/>
      <c r="E14" s="93">
        <v>57</v>
      </c>
      <c r="F14" s="93" t="s">
        <v>493</v>
      </c>
      <c r="G14" s="93">
        <v>2749</v>
      </c>
      <c r="H14" s="357">
        <v>31</v>
      </c>
      <c r="I14" s="377" t="s">
        <v>508</v>
      </c>
      <c r="J14" s="378">
        <v>2750</v>
      </c>
      <c r="K14" s="93"/>
      <c r="L14" s="392">
        <v>38</v>
      </c>
      <c r="M14" s="390" t="s">
        <v>516</v>
      </c>
      <c r="N14" s="396">
        <v>215</v>
      </c>
      <c r="O14" s="93">
        <v>50</v>
      </c>
      <c r="P14" s="93" t="s">
        <v>535</v>
      </c>
      <c r="Q14" s="412">
        <v>5400</v>
      </c>
      <c r="R14" s="414">
        <v>14</v>
      </c>
      <c r="S14" s="408">
        <v>45825.755231481511</v>
      </c>
      <c r="T14" s="422">
        <v>917</v>
      </c>
      <c r="U14" s="93">
        <v>42</v>
      </c>
      <c r="V14" s="160">
        <v>45874</v>
      </c>
      <c r="W14" s="442">
        <v>2000</v>
      </c>
      <c r="X14" s="429">
        <v>42</v>
      </c>
      <c r="Y14" s="160">
        <v>45874</v>
      </c>
      <c r="Z14" s="448">
        <v>2000</v>
      </c>
      <c r="AA14" s="429">
        <v>34</v>
      </c>
      <c r="AB14" s="160">
        <v>45908</v>
      </c>
      <c r="AC14" s="448">
        <v>11000</v>
      </c>
      <c r="AD14" s="445">
        <v>32</v>
      </c>
      <c r="AE14" s="424" t="s">
        <v>565</v>
      </c>
      <c r="AF14" s="438">
        <v>500</v>
      </c>
      <c r="AG14" s="434">
        <v>79</v>
      </c>
      <c r="AH14" s="390" t="s">
        <v>584</v>
      </c>
      <c r="AI14" s="433">
        <v>4000</v>
      </c>
      <c r="AJ14" s="449">
        <v>42</v>
      </c>
      <c r="AK14" s="93" t="s">
        <v>600</v>
      </c>
      <c r="AL14" s="428">
        <v>1500</v>
      </c>
      <c r="AM14" s="429">
        <v>92</v>
      </c>
      <c r="AN14" s="160">
        <v>46037</v>
      </c>
      <c r="AO14" s="448">
        <v>3125</v>
      </c>
      <c r="AP14" s="429">
        <v>42</v>
      </c>
      <c r="AQ14" s="160">
        <v>46058</v>
      </c>
      <c r="AR14" s="448">
        <v>2000</v>
      </c>
      <c r="AS14" s="429">
        <v>60</v>
      </c>
      <c r="AT14" s="160">
        <v>46092</v>
      </c>
      <c r="AU14" s="428">
        <v>5000</v>
      </c>
      <c r="AV14" s="476">
        <v>38</v>
      </c>
      <c r="AW14" s="390" t="s">
        <v>617</v>
      </c>
      <c r="AX14" s="523">
        <v>3000</v>
      </c>
      <c r="AY14" s="435">
        <v>28</v>
      </c>
      <c r="AZ14" s="525" t="s">
        <v>637</v>
      </c>
      <c r="BA14" s="529">
        <v>5209</v>
      </c>
    </row>
    <row r="15" spans="1:53" ht="14.4" customHeight="1" x14ac:dyDescent="0.3">
      <c r="A15" s="357">
        <v>112</v>
      </c>
      <c r="B15" s="377">
        <v>45680</v>
      </c>
      <c r="C15" s="378">
        <v>917</v>
      </c>
      <c r="D15" s="93"/>
      <c r="E15" s="93">
        <v>61</v>
      </c>
      <c r="F15" s="160">
        <v>45715</v>
      </c>
      <c r="G15" s="93">
        <v>3667</v>
      </c>
      <c r="H15" s="357">
        <v>32</v>
      </c>
      <c r="I15" s="377" t="s">
        <v>508</v>
      </c>
      <c r="J15" s="378">
        <v>900</v>
      </c>
      <c r="K15" s="93"/>
      <c r="L15" s="392">
        <v>56</v>
      </c>
      <c r="M15" s="390" t="s">
        <v>516</v>
      </c>
      <c r="N15" s="396">
        <v>11000</v>
      </c>
      <c r="O15" s="93">
        <v>50</v>
      </c>
      <c r="P15" s="93" t="s">
        <v>544</v>
      </c>
      <c r="Q15" s="412">
        <v>200</v>
      </c>
      <c r="R15" s="415">
        <v>18</v>
      </c>
      <c r="S15" s="408">
        <v>45810.506493055727</v>
      </c>
      <c r="T15" s="422">
        <v>5500</v>
      </c>
      <c r="U15" s="93">
        <v>43</v>
      </c>
      <c r="V15" s="160">
        <v>45874</v>
      </c>
      <c r="W15" s="442">
        <v>2000</v>
      </c>
      <c r="X15" s="429">
        <v>43</v>
      </c>
      <c r="Y15" s="160">
        <v>45874</v>
      </c>
      <c r="Z15" s="448">
        <v>2000</v>
      </c>
      <c r="AA15" s="429">
        <v>39</v>
      </c>
      <c r="AB15" s="160">
        <v>45914</v>
      </c>
      <c r="AC15" s="448">
        <v>2750</v>
      </c>
      <c r="AD15" s="445">
        <v>33</v>
      </c>
      <c r="AE15" s="424" t="s">
        <v>563</v>
      </c>
      <c r="AF15" s="438">
        <v>4167</v>
      </c>
      <c r="AG15" s="432">
        <v>80</v>
      </c>
      <c r="AH15" s="390" t="s">
        <v>585</v>
      </c>
      <c r="AI15" s="433">
        <v>2000</v>
      </c>
      <c r="AJ15" s="449">
        <v>43</v>
      </c>
      <c r="AK15" s="93" t="s">
        <v>600</v>
      </c>
      <c r="AL15" s="428">
        <v>1500</v>
      </c>
      <c r="AM15" s="429">
        <v>110</v>
      </c>
      <c r="AN15" s="160">
        <v>46026</v>
      </c>
      <c r="AO15" s="448">
        <v>8000</v>
      </c>
      <c r="AP15" s="429">
        <v>43</v>
      </c>
      <c r="AQ15" s="160">
        <v>46058</v>
      </c>
      <c r="AR15" s="448">
        <v>2000</v>
      </c>
      <c r="AS15" s="429">
        <v>78</v>
      </c>
      <c r="AT15" s="160">
        <v>46095</v>
      </c>
      <c r="AU15" s="428">
        <v>1500</v>
      </c>
      <c r="AV15" s="476">
        <v>39</v>
      </c>
      <c r="AW15" s="390" t="s">
        <v>618</v>
      </c>
      <c r="AX15" s="523">
        <v>7667</v>
      </c>
      <c r="AY15" s="432">
        <v>32</v>
      </c>
      <c r="AZ15" s="525" t="s">
        <v>638</v>
      </c>
      <c r="BA15" s="529">
        <v>2100</v>
      </c>
    </row>
    <row r="16" spans="1:53" ht="14.4" customHeight="1" x14ac:dyDescent="0.3">
      <c r="A16" s="357">
        <v>119</v>
      </c>
      <c r="B16" s="377">
        <v>45677</v>
      </c>
      <c r="C16" s="378">
        <v>31583</v>
      </c>
      <c r="D16" s="93"/>
      <c r="E16" s="93">
        <v>63</v>
      </c>
      <c r="F16" s="93" t="s">
        <v>494</v>
      </c>
      <c r="G16" s="93">
        <v>6000</v>
      </c>
      <c r="H16" s="357">
        <v>38</v>
      </c>
      <c r="I16" s="377" t="s">
        <v>505</v>
      </c>
      <c r="J16" s="378">
        <v>3000</v>
      </c>
      <c r="K16" s="93"/>
      <c r="L16" s="392">
        <v>68</v>
      </c>
      <c r="M16" s="390" t="s">
        <v>521</v>
      </c>
      <c r="N16" s="396">
        <v>12000</v>
      </c>
      <c r="O16" s="93">
        <v>50</v>
      </c>
      <c r="P16" s="93" t="s">
        <v>545</v>
      </c>
      <c r="Q16" s="412">
        <v>3500</v>
      </c>
      <c r="R16" s="415">
        <v>21</v>
      </c>
      <c r="S16" s="408">
        <v>45811.469236111268</v>
      </c>
      <c r="T16" s="422">
        <v>21500</v>
      </c>
      <c r="U16" s="93">
        <v>49</v>
      </c>
      <c r="V16" s="160">
        <v>45873</v>
      </c>
      <c r="W16" s="442">
        <v>3000</v>
      </c>
      <c r="X16" s="429">
        <v>49</v>
      </c>
      <c r="Y16" s="160">
        <v>45873</v>
      </c>
      <c r="Z16" s="448">
        <v>3000</v>
      </c>
      <c r="AA16" s="429">
        <v>41</v>
      </c>
      <c r="AB16" s="160">
        <v>45911</v>
      </c>
      <c r="AC16" s="448">
        <v>2000</v>
      </c>
      <c r="AD16" s="445">
        <v>36</v>
      </c>
      <c r="AE16" s="424" t="s">
        <v>565</v>
      </c>
      <c r="AF16" s="438">
        <v>5000</v>
      </c>
      <c r="AG16" s="432">
        <v>87</v>
      </c>
      <c r="AH16" s="390" t="s">
        <v>582</v>
      </c>
      <c r="AI16" s="433">
        <v>4000</v>
      </c>
      <c r="AJ16" s="450">
        <v>46</v>
      </c>
      <c r="AK16" s="93" t="s">
        <v>601</v>
      </c>
      <c r="AL16" s="428">
        <v>3000</v>
      </c>
      <c r="AM16" s="429">
        <v>117</v>
      </c>
      <c r="AN16" s="160">
        <v>46028</v>
      </c>
      <c r="AO16" s="448">
        <v>1000</v>
      </c>
      <c r="AP16" s="429">
        <v>54</v>
      </c>
      <c r="AQ16" s="160">
        <v>46064</v>
      </c>
      <c r="AR16" s="448">
        <v>5580</v>
      </c>
      <c r="AS16" s="429">
        <v>78</v>
      </c>
      <c r="AT16" s="160">
        <v>46107</v>
      </c>
      <c r="AU16" s="428">
        <v>2000</v>
      </c>
      <c r="AV16" s="476">
        <v>41</v>
      </c>
      <c r="AW16" s="390" t="s">
        <v>613</v>
      </c>
      <c r="AX16" s="523">
        <v>2500</v>
      </c>
      <c r="AY16" s="524">
        <v>34</v>
      </c>
      <c r="AZ16" s="525" t="s">
        <v>639</v>
      </c>
      <c r="BA16" s="529">
        <v>459</v>
      </c>
    </row>
    <row r="17" spans="1:53" ht="14.4" customHeight="1" x14ac:dyDescent="0.3">
      <c r="A17" s="357">
        <v>142</v>
      </c>
      <c r="B17" s="377">
        <v>45669</v>
      </c>
      <c r="C17" s="378">
        <v>2750</v>
      </c>
      <c r="D17" s="93"/>
      <c r="E17" s="93">
        <v>64</v>
      </c>
      <c r="F17" s="160">
        <v>45712</v>
      </c>
      <c r="G17" s="93">
        <v>6000</v>
      </c>
      <c r="H17" s="357">
        <v>41</v>
      </c>
      <c r="I17" s="377" t="s">
        <v>509</v>
      </c>
      <c r="J17" s="378">
        <v>4000</v>
      </c>
      <c r="K17" s="93"/>
      <c r="L17" s="392">
        <v>71</v>
      </c>
      <c r="M17" s="390" t="s">
        <v>520</v>
      </c>
      <c r="N17" s="396">
        <v>5500</v>
      </c>
      <c r="O17" s="93">
        <v>50</v>
      </c>
      <c r="P17" s="93" t="s">
        <v>545</v>
      </c>
      <c r="Q17" s="412">
        <v>4000</v>
      </c>
      <c r="R17" s="415">
        <v>23</v>
      </c>
      <c r="S17" s="408">
        <v>45819.692754629534</v>
      </c>
      <c r="T17" s="422">
        <v>4000</v>
      </c>
      <c r="U17" s="93">
        <v>55</v>
      </c>
      <c r="V17" s="160">
        <v>45870</v>
      </c>
      <c r="W17" s="442">
        <v>5500</v>
      </c>
      <c r="X17" s="429">
        <v>55</v>
      </c>
      <c r="Y17" s="160">
        <v>45870</v>
      </c>
      <c r="Z17" s="448">
        <v>5500</v>
      </c>
      <c r="AA17" s="429">
        <v>47</v>
      </c>
      <c r="AB17" s="160">
        <v>45910</v>
      </c>
      <c r="AC17" s="448">
        <v>11000</v>
      </c>
      <c r="AD17" s="445">
        <v>42</v>
      </c>
      <c r="AE17" s="424" t="s">
        <v>564</v>
      </c>
      <c r="AF17" s="438">
        <v>1000</v>
      </c>
      <c r="AG17" s="435">
        <v>88</v>
      </c>
      <c r="AH17" s="390" t="s">
        <v>586</v>
      </c>
      <c r="AI17" s="433">
        <v>4300</v>
      </c>
      <c r="AJ17" s="449">
        <v>53</v>
      </c>
      <c r="AK17" s="93" t="s">
        <v>602</v>
      </c>
      <c r="AL17" s="428">
        <v>6983</v>
      </c>
      <c r="AM17" s="429">
        <v>128</v>
      </c>
      <c r="AN17" s="160">
        <v>46035</v>
      </c>
      <c r="AO17" s="428">
        <v>800</v>
      </c>
      <c r="AP17" s="429">
        <v>73</v>
      </c>
      <c r="AQ17" s="160">
        <v>46058</v>
      </c>
      <c r="AR17" s="448">
        <v>5000</v>
      </c>
      <c r="AS17" s="429">
        <v>84</v>
      </c>
      <c r="AT17" s="160">
        <v>46097</v>
      </c>
      <c r="AU17" s="428">
        <v>12500</v>
      </c>
      <c r="AV17" s="476">
        <v>42</v>
      </c>
      <c r="AW17" s="390" t="s">
        <v>614</v>
      </c>
      <c r="AX17" s="523">
        <v>3000</v>
      </c>
      <c r="AY17" s="524">
        <v>36</v>
      </c>
      <c r="AZ17" s="525" t="s">
        <v>640</v>
      </c>
      <c r="BA17" s="529">
        <v>2000</v>
      </c>
    </row>
    <row r="18" spans="1:53" ht="14.4" customHeight="1" x14ac:dyDescent="0.3">
      <c r="A18" s="357">
        <v>143</v>
      </c>
      <c r="B18" s="377">
        <v>45669</v>
      </c>
      <c r="C18" s="378">
        <v>2750</v>
      </c>
      <c r="D18" s="93"/>
      <c r="E18" s="93">
        <v>74</v>
      </c>
      <c r="F18" s="93" t="s">
        <v>495</v>
      </c>
      <c r="G18" s="93">
        <v>8250</v>
      </c>
      <c r="H18" s="357">
        <v>42</v>
      </c>
      <c r="I18" s="377" t="s">
        <v>510</v>
      </c>
      <c r="J18" s="378">
        <v>2000</v>
      </c>
      <c r="K18" s="93"/>
      <c r="L18" s="392">
        <v>77</v>
      </c>
      <c r="M18" s="390" t="s">
        <v>523</v>
      </c>
      <c r="N18" s="396">
        <v>5500</v>
      </c>
      <c r="O18" s="93">
        <v>50</v>
      </c>
      <c r="P18" s="93" t="s">
        <v>545</v>
      </c>
      <c r="Q18" s="412">
        <v>6500</v>
      </c>
      <c r="R18" s="415">
        <v>23</v>
      </c>
      <c r="S18" s="408">
        <v>45819.693657407537</v>
      </c>
      <c r="T18" s="422">
        <v>9100</v>
      </c>
      <c r="U18" s="93">
        <v>60</v>
      </c>
      <c r="V18" s="160">
        <v>45893</v>
      </c>
      <c r="W18" s="442">
        <v>2000</v>
      </c>
      <c r="X18" s="429">
        <v>60</v>
      </c>
      <c r="Y18" s="160">
        <v>45893</v>
      </c>
      <c r="Z18" s="448">
        <v>2000</v>
      </c>
      <c r="AA18" s="429">
        <v>49</v>
      </c>
      <c r="AB18" s="160">
        <v>45903</v>
      </c>
      <c r="AC18" s="448">
        <v>3000</v>
      </c>
      <c r="AD18" s="445">
        <v>43</v>
      </c>
      <c r="AE18" s="424" t="s">
        <v>564</v>
      </c>
      <c r="AF18" s="438">
        <v>1000</v>
      </c>
      <c r="AG18" s="436">
        <v>101</v>
      </c>
      <c r="AH18" s="390" t="s">
        <v>587</v>
      </c>
      <c r="AI18" s="433">
        <v>5000</v>
      </c>
      <c r="AJ18" s="449">
        <v>56</v>
      </c>
      <c r="AK18" s="93" t="s">
        <v>600</v>
      </c>
      <c r="AL18" s="428">
        <v>5000</v>
      </c>
      <c r="AM18" s="429">
        <v>129</v>
      </c>
      <c r="AN18" s="160">
        <v>46035</v>
      </c>
      <c r="AO18" s="428">
        <v>800</v>
      </c>
      <c r="AP18" s="429">
        <v>78</v>
      </c>
      <c r="AQ18" s="160">
        <v>46058</v>
      </c>
      <c r="AR18" s="448">
        <v>1000</v>
      </c>
      <c r="AS18" s="429">
        <v>85</v>
      </c>
      <c r="AT18" s="160">
        <v>46097</v>
      </c>
      <c r="AU18" s="428">
        <v>12500</v>
      </c>
      <c r="AV18" s="477">
        <v>43</v>
      </c>
      <c r="AW18" s="390" t="s">
        <v>614</v>
      </c>
      <c r="AX18" s="523">
        <v>3000</v>
      </c>
      <c r="AY18" s="432">
        <v>35</v>
      </c>
      <c r="AZ18" s="525" t="s">
        <v>641</v>
      </c>
      <c r="BA18" s="529">
        <v>11500</v>
      </c>
    </row>
    <row r="19" spans="1:53" ht="14.4" customHeight="1" x14ac:dyDescent="0.3">
      <c r="A19" s="357">
        <v>144</v>
      </c>
      <c r="B19" s="377">
        <v>45669</v>
      </c>
      <c r="C19" s="378">
        <v>2750</v>
      </c>
      <c r="D19" s="93"/>
      <c r="E19" s="93">
        <v>78</v>
      </c>
      <c r="F19" s="93" t="s">
        <v>496</v>
      </c>
      <c r="G19" s="93">
        <v>1500</v>
      </c>
      <c r="H19" s="357">
        <v>43</v>
      </c>
      <c r="I19" s="377" t="s">
        <v>510</v>
      </c>
      <c r="J19" s="378">
        <v>2000</v>
      </c>
      <c r="K19" s="93"/>
      <c r="L19" s="392">
        <v>78</v>
      </c>
      <c r="M19" s="390" t="s">
        <v>527</v>
      </c>
      <c r="N19" s="396">
        <v>2000</v>
      </c>
      <c r="O19" s="93">
        <v>54</v>
      </c>
      <c r="P19" s="93" t="s">
        <v>532</v>
      </c>
      <c r="Q19" s="412">
        <v>4800</v>
      </c>
      <c r="R19" s="415">
        <v>26</v>
      </c>
      <c r="S19" s="408">
        <v>45818.411747685168</v>
      </c>
      <c r="T19" s="422">
        <v>2750</v>
      </c>
      <c r="U19" s="93">
        <v>78</v>
      </c>
      <c r="V19" s="160">
        <v>45895</v>
      </c>
      <c r="W19" s="442">
        <v>5500</v>
      </c>
      <c r="X19" s="429">
        <v>78</v>
      </c>
      <c r="Y19" s="160">
        <v>45895</v>
      </c>
      <c r="Z19" s="448">
        <v>5500</v>
      </c>
      <c r="AA19" s="429">
        <v>51</v>
      </c>
      <c r="AB19" s="160">
        <v>45908</v>
      </c>
      <c r="AC19" s="448">
        <v>12300</v>
      </c>
      <c r="AD19" s="445">
        <v>73</v>
      </c>
      <c r="AE19" s="424" t="s">
        <v>566</v>
      </c>
      <c r="AF19" s="438">
        <v>3500</v>
      </c>
      <c r="AG19" s="434" t="s">
        <v>276</v>
      </c>
      <c r="AH19" s="390" t="s">
        <v>587</v>
      </c>
      <c r="AI19" s="433">
        <v>2500</v>
      </c>
      <c r="AJ19" s="449">
        <v>63</v>
      </c>
      <c r="AK19" s="93" t="s">
        <v>595</v>
      </c>
      <c r="AL19" s="428">
        <v>9900</v>
      </c>
      <c r="AM19" s="429">
        <v>142</v>
      </c>
      <c r="AN19" s="160">
        <v>46031</v>
      </c>
      <c r="AO19" s="448">
        <v>3125</v>
      </c>
      <c r="AP19" s="429">
        <v>90</v>
      </c>
      <c r="AQ19" s="160">
        <v>46056</v>
      </c>
      <c r="AR19" s="448">
        <v>3125</v>
      </c>
      <c r="AS19" s="429">
        <v>87</v>
      </c>
      <c r="AT19" s="160">
        <v>46086</v>
      </c>
      <c r="AU19" s="428">
        <v>3000</v>
      </c>
      <c r="AV19" s="477">
        <v>54</v>
      </c>
      <c r="AW19" s="390" t="s">
        <v>612</v>
      </c>
      <c r="AX19" s="523">
        <v>850</v>
      </c>
      <c r="AY19" s="435">
        <v>46</v>
      </c>
      <c r="AZ19" s="525" t="s">
        <v>642</v>
      </c>
      <c r="BA19" s="529">
        <v>10000</v>
      </c>
    </row>
    <row r="20" spans="1:53" ht="14.4" customHeight="1" x14ac:dyDescent="0.3">
      <c r="A20" s="357">
        <v>145</v>
      </c>
      <c r="B20" s="377">
        <v>45669</v>
      </c>
      <c r="C20" s="378">
        <v>2750</v>
      </c>
      <c r="D20" s="93"/>
      <c r="E20" s="93">
        <v>87</v>
      </c>
      <c r="F20" s="93" t="s">
        <v>497</v>
      </c>
      <c r="G20" s="93">
        <v>3000</v>
      </c>
      <c r="H20" s="357">
        <v>44</v>
      </c>
      <c r="I20" s="377" t="s">
        <v>511</v>
      </c>
      <c r="J20" s="378"/>
      <c r="K20" s="93">
        <v>8000</v>
      </c>
      <c r="L20" s="392">
        <v>80</v>
      </c>
      <c r="M20" s="390" t="s">
        <v>527</v>
      </c>
      <c r="N20" s="396">
        <v>1000</v>
      </c>
      <c r="O20" s="93">
        <v>55</v>
      </c>
      <c r="P20" s="93" t="s">
        <v>531</v>
      </c>
      <c r="Q20" s="412">
        <v>5484</v>
      </c>
      <c r="R20" s="416">
        <v>27</v>
      </c>
      <c r="S20" s="408">
        <v>45812.578055555467</v>
      </c>
      <c r="T20" s="422">
        <v>5500</v>
      </c>
      <c r="U20" s="93">
        <v>80</v>
      </c>
      <c r="V20" s="160">
        <v>45870</v>
      </c>
      <c r="W20" s="442">
        <v>2000</v>
      </c>
      <c r="X20" s="429">
        <v>80</v>
      </c>
      <c r="Y20" s="160">
        <v>45870</v>
      </c>
      <c r="Z20" s="448">
        <v>2000</v>
      </c>
      <c r="AA20" s="429">
        <v>53</v>
      </c>
      <c r="AB20" s="160">
        <v>45921</v>
      </c>
      <c r="AC20" s="448">
        <v>2750</v>
      </c>
      <c r="AD20" s="445">
        <v>77</v>
      </c>
      <c r="AE20" s="424" t="s">
        <v>567</v>
      </c>
      <c r="AF20" s="438">
        <v>6500</v>
      </c>
      <c r="AG20" s="435">
        <v>106</v>
      </c>
      <c r="AH20" s="390" t="s">
        <v>588</v>
      </c>
      <c r="AI20" s="433">
        <v>5000</v>
      </c>
      <c r="AJ20" s="450">
        <v>71</v>
      </c>
      <c r="AK20" s="93" t="s">
        <v>603</v>
      </c>
      <c r="AL20" s="428">
        <v>3450</v>
      </c>
      <c r="AM20" s="429">
        <v>143</v>
      </c>
      <c r="AN20" s="160">
        <v>46031</v>
      </c>
      <c r="AO20" s="448">
        <v>3125</v>
      </c>
      <c r="AP20" s="429">
        <v>90</v>
      </c>
      <c r="AQ20" s="160">
        <v>46079</v>
      </c>
      <c r="AR20" s="448">
        <v>3125</v>
      </c>
      <c r="AS20" s="429">
        <v>110</v>
      </c>
      <c r="AT20" s="160">
        <v>46085</v>
      </c>
      <c r="AU20" s="428">
        <v>4500</v>
      </c>
      <c r="AV20" s="477">
        <v>58</v>
      </c>
      <c r="AW20" s="390" t="s">
        <v>619</v>
      </c>
      <c r="AX20" s="523">
        <v>11459</v>
      </c>
      <c r="AY20" s="524">
        <v>49</v>
      </c>
      <c r="AZ20" s="525" t="s">
        <v>640</v>
      </c>
      <c r="BA20" s="529">
        <v>14100</v>
      </c>
    </row>
    <row r="21" spans="1:53" ht="14.4" customHeight="1" x14ac:dyDescent="0.3">
      <c r="A21" s="357">
        <v>146</v>
      </c>
      <c r="B21" s="377">
        <v>45670</v>
      </c>
      <c r="C21" s="378">
        <v>3000</v>
      </c>
      <c r="D21" s="93"/>
      <c r="E21" s="93">
        <v>90</v>
      </c>
      <c r="F21" s="160">
        <v>45711</v>
      </c>
      <c r="G21" s="93">
        <v>2750</v>
      </c>
      <c r="H21" s="357">
        <v>60</v>
      </c>
      <c r="I21" s="377" t="s">
        <v>512</v>
      </c>
      <c r="J21" s="378">
        <v>3000</v>
      </c>
      <c r="K21" s="93"/>
      <c r="L21" s="392">
        <v>81</v>
      </c>
      <c r="M21" s="390" t="s">
        <v>528</v>
      </c>
      <c r="N21" s="396">
        <v>2750</v>
      </c>
      <c r="O21" s="93">
        <v>57</v>
      </c>
      <c r="P21" s="93" t="s">
        <v>541</v>
      </c>
      <c r="Q21" s="412">
        <v>3666</v>
      </c>
      <c r="R21" s="416">
        <v>28</v>
      </c>
      <c r="S21" s="408">
        <v>45812.68829861097</v>
      </c>
      <c r="T21" s="422">
        <v>3666</v>
      </c>
      <c r="U21" s="93">
        <v>89</v>
      </c>
      <c r="V21" s="160">
        <v>45873</v>
      </c>
      <c r="W21" s="442">
        <v>11000</v>
      </c>
      <c r="X21" s="429">
        <v>89</v>
      </c>
      <c r="Y21" s="160">
        <v>45873</v>
      </c>
      <c r="Z21" s="448">
        <v>11000</v>
      </c>
      <c r="AA21" s="429">
        <v>54</v>
      </c>
      <c r="AB21" s="160">
        <v>45908</v>
      </c>
      <c r="AC21" s="448">
        <v>1950</v>
      </c>
      <c r="AD21" s="445">
        <v>90</v>
      </c>
      <c r="AE21" s="424" t="s">
        <v>568</v>
      </c>
      <c r="AF21" s="438">
        <v>500</v>
      </c>
      <c r="AG21" s="436">
        <v>109</v>
      </c>
      <c r="AH21" s="390" t="s">
        <v>589</v>
      </c>
      <c r="AI21" s="433">
        <v>17000</v>
      </c>
      <c r="AJ21" s="449">
        <v>74</v>
      </c>
      <c r="AK21" s="93" t="s">
        <v>604</v>
      </c>
      <c r="AL21" s="428">
        <v>6250</v>
      </c>
      <c r="AM21" s="429">
        <v>144</v>
      </c>
      <c r="AN21" s="160">
        <v>46031</v>
      </c>
      <c r="AO21" s="448">
        <v>3125</v>
      </c>
      <c r="AP21" s="429">
        <v>91</v>
      </c>
      <c r="AQ21" s="160">
        <v>46421</v>
      </c>
      <c r="AR21" s="448">
        <v>3125</v>
      </c>
      <c r="AS21" s="429">
        <v>117</v>
      </c>
      <c r="AT21" s="160">
        <v>46086</v>
      </c>
      <c r="AU21" s="428">
        <v>1000</v>
      </c>
      <c r="AV21" s="477">
        <v>71</v>
      </c>
      <c r="AW21" s="390" t="s">
        <v>613</v>
      </c>
      <c r="AX21" s="523">
        <v>3125</v>
      </c>
      <c r="AY21" s="524">
        <v>51</v>
      </c>
      <c r="AZ21" s="525" t="s">
        <v>634</v>
      </c>
      <c r="BA21" s="529">
        <v>1500</v>
      </c>
    </row>
    <row r="22" spans="1:53" ht="14.4" customHeight="1" x14ac:dyDescent="0.3">
      <c r="A22" s="357">
        <v>152</v>
      </c>
      <c r="B22" s="380">
        <v>45673</v>
      </c>
      <c r="C22" s="378">
        <v>2750</v>
      </c>
      <c r="D22" s="153"/>
      <c r="E22" s="93">
        <v>91</v>
      </c>
      <c r="F22" s="160">
        <v>45711</v>
      </c>
      <c r="G22" s="93">
        <v>2750</v>
      </c>
      <c r="H22" s="357">
        <v>80</v>
      </c>
      <c r="I22" s="380" t="s">
        <v>504</v>
      </c>
      <c r="J22" s="378">
        <v>1333</v>
      </c>
      <c r="K22" s="153"/>
      <c r="L22" s="357">
        <v>87</v>
      </c>
      <c r="M22" s="390" t="s">
        <v>524</v>
      </c>
      <c r="N22" s="396">
        <v>1500</v>
      </c>
      <c r="O22" s="93">
        <v>60</v>
      </c>
      <c r="P22" s="93" t="s">
        <v>544</v>
      </c>
      <c r="Q22" s="412">
        <v>5200</v>
      </c>
      <c r="R22" s="416">
        <v>29</v>
      </c>
      <c r="S22" s="408">
        <v>45812.481539351866</v>
      </c>
      <c r="T22" s="422">
        <v>8250</v>
      </c>
      <c r="U22" s="93">
        <v>93</v>
      </c>
      <c r="V22" s="160">
        <v>45881</v>
      </c>
      <c r="W22" s="156">
        <v>950</v>
      </c>
      <c r="X22" s="429">
        <v>93</v>
      </c>
      <c r="Y22" s="160">
        <v>45881</v>
      </c>
      <c r="Z22" s="428">
        <v>950</v>
      </c>
      <c r="AA22" s="429">
        <v>56</v>
      </c>
      <c r="AB22" s="160">
        <v>45909</v>
      </c>
      <c r="AC22" s="448">
        <v>2750</v>
      </c>
      <c r="AD22" s="445">
        <v>91</v>
      </c>
      <c r="AE22" s="424" t="s">
        <v>568</v>
      </c>
      <c r="AF22" s="438">
        <v>500</v>
      </c>
      <c r="AG22" s="435">
        <v>112</v>
      </c>
      <c r="AH22" s="390" t="s">
        <v>590</v>
      </c>
      <c r="AI22" s="433">
        <v>2084</v>
      </c>
      <c r="AJ22" s="450">
        <v>105</v>
      </c>
      <c r="AK22" s="93" t="s">
        <v>605</v>
      </c>
      <c r="AL22" s="428">
        <v>4167</v>
      </c>
      <c r="AM22" s="429">
        <v>145</v>
      </c>
      <c r="AN22" s="160">
        <v>46031</v>
      </c>
      <c r="AO22" s="448">
        <v>3125</v>
      </c>
      <c r="AP22" s="429">
        <v>91</v>
      </c>
      <c r="AQ22" s="160">
        <v>46444</v>
      </c>
      <c r="AR22" s="448">
        <v>3125</v>
      </c>
      <c r="AS22" s="429">
        <v>130</v>
      </c>
      <c r="AT22" s="160">
        <v>46085</v>
      </c>
      <c r="AU22" s="428">
        <v>1041</v>
      </c>
      <c r="AV22" s="477">
        <v>88</v>
      </c>
      <c r="AW22" s="390" t="s">
        <v>620</v>
      </c>
      <c r="AX22" s="523">
        <v>5200</v>
      </c>
      <c r="AY22" s="524">
        <v>55</v>
      </c>
      <c r="AZ22" s="525" t="s">
        <v>643</v>
      </c>
      <c r="BA22" s="529">
        <v>2084</v>
      </c>
    </row>
    <row r="23" spans="1:53" ht="14.4" customHeight="1" x14ac:dyDescent="0.3">
      <c r="A23" s="357">
        <v>156</v>
      </c>
      <c r="B23" s="377">
        <v>45684</v>
      </c>
      <c r="C23" s="378">
        <v>917</v>
      </c>
      <c r="D23" s="153"/>
      <c r="E23" s="93">
        <v>92</v>
      </c>
      <c r="F23" s="160">
        <v>45711</v>
      </c>
      <c r="G23" s="93">
        <v>2750</v>
      </c>
      <c r="H23" s="357">
        <v>110</v>
      </c>
      <c r="I23" s="377" t="s">
        <v>507</v>
      </c>
      <c r="J23" s="378">
        <v>5000</v>
      </c>
      <c r="K23" s="153"/>
      <c r="L23" s="391" t="s">
        <v>386</v>
      </c>
      <c r="M23" s="393" t="s">
        <v>524</v>
      </c>
      <c r="N23" s="396">
        <v>11000</v>
      </c>
      <c r="O23" s="93">
        <v>63</v>
      </c>
      <c r="P23" s="93" t="s">
        <v>535</v>
      </c>
      <c r="Q23" s="412">
        <v>9800</v>
      </c>
      <c r="R23" s="415">
        <v>30</v>
      </c>
      <c r="S23" s="408">
        <v>45811.580243055709</v>
      </c>
      <c r="T23" s="422">
        <v>2750</v>
      </c>
      <c r="U23" s="93">
        <v>97</v>
      </c>
      <c r="V23" s="160">
        <v>45873</v>
      </c>
      <c r="W23" s="442">
        <v>7500</v>
      </c>
      <c r="X23" s="429">
        <v>97</v>
      </c>
      <c r="Y23" s="160">
        <v>45873</v>
      </c>
      <c r="Z23" s="448">
        <v>7500</v>
      </c>
      <c r="AA23" s="429">
        <v>57</v>
      </c>
      <c r="AB23" s="160">
        <v>45920</v>
      </c>
      <c r="AC23" s="448">
        <v>5000</v>
      </c>
      <c r="AD23" s="445">
        <v>92</v>
      </c>
      <c r="AE23" s="424" t="s">
        <v>568</v>
      </c>
      <c r="AF23" s="438">
        <v>500</v>
      </c>
      <c r="AG23" s="436">
        <v>117</v>
      </c>
      <c r="AH23" s="390" t="s">
        <v>591</v>
      </c>
      <c r="AI23" s="433">
        <v>1000</v>
      </c>
      <c r="AJ23" s="449">
        <v>112</v>
      </c>
      <c r="AK23" s="93" t="s">
        <v>600</v>
      </c>
      <c r="AL23" s="428">
        <v>2084</v>
      </c>
      <c r="AM23" s="429">
        <v>161</v>
      </c>
      <c r="AN23" s="160">
        <v>46044</v>
      </c>
      <c r="AO23" s="448">
        <v>2024</v>
      </c>
      <c r="AP23" s="429">
        <v>92</v>
      </c>
      <c r="AQ23" s="160">
        <v>46786</v>
      </c>
      <c r="AR23" s="448">
        <v>3125</v>
      </c>
      <c r="AS23" s="429">
        <v>140</v>
      </c>
      <c r="AT23" s="160">
        <v>46086</v>
      </c>
      <c r="AU23" s="428">
        <v>3250</v>
      </c>
      <c r="AV23" s="357">
        <v>101</v>
      </c>
      <c r="AW23" s="390" t="s">
        <v>621</v>
      </c>
      <c r="AX23" s="523">
        <v>2500</v>
      </c>
      <c r="AY23" s="435">
        <v>56</v>
      </c>
      <c r="AZ23" s="525" t="s">
        <v>637</v>
      </c>
      <c r="BA23" s="529">
        <v>4750</v>
      </c>
    </row>
    <row r="24" spans="1:53" ht="14.4" customHeight="1" x14ac:dyDescent="0.3">
      <c r="A24" s="382"/>
      <c r="B24" s="382"/>
      <c r="C24" s="383"/>
      <c r="D24" s="153"/>
      <c r="E24" s="93">
        <v>117</v>
      </c>
      <c r="F24" s="93" t="s">
        <v>498</v>
      </c>
      <c r="G24" s="93">
        <v>1000</v>
      </c>
      <c r="H24" s="386">
        <v>112</v>
      </c>
      <c r="I24" s="382" t="s">
        <v>505</v>
      </c>
      <c r="J24" s="383">
        <v>1833</v>
      </c>
      <c r="K24" s="153"/>
      <c r="L24" s="392">
        <v>102</v>
      </c>
      <c r="M24" s="390" t="s">
        <v>518</v>
      </c>
      <c r="N24" s="396">
        <v>2000</v>
      </c>
      <c r="O24" s="93">
        <v>73</v>
      </c>
      <c r="P24" s="93" t="s">
        <v>544</v>
      </c>
      <c r="Q24" s="412">
        <v>2900</v>
      </c>
      <c r="R24" s="415">
        <v>31</v>
      </c>
      <c r="S24" s="408">
        <v>45811.580844907556</v>
      </c>
      <c r="T24" s="422">
        <v>2750</v>
      </c>
      <c r="U24" s="93">
        <v>101</v>
      </c>
      <c r="V24" s="160">
        <v>45877</v>
      </c>
      <c r="W24" s="442">
        <v>5000</v>
      </c>
      <c r="X24" s="429">
        <v>101</v>
      </c>
      <c r="Y24" s="160">
        <v>45877</v>
      </c>
      <c r="Z24" s="448">
        <v>5000</v>
      </c>
      <c r="AA24" s="429">
        <v>68</v>
      </c>
      <c r="AB24" s="160">
        <v>45903</v>
      </c>
      <c r="AC24" s="448">
        <v>13000</v>
      </c>
      <c r="AD24" s="445">
        <v>93</v>
      </c>
      <c r="AE24" s="424" t="s">
        <v>563</v>
      </c>
      <c r="AF24" s="438">
        <v>5000</v>
      </c>
      <c r="AG24" s="435">
        <v>123</v>
      </c>
      <c r="AH24" s="390" t="s">
        <v>577</v>
      </c>
      <c r="AI24" s="433">
        <v>5000</v>
      </c>
      <c r="AJ24" s="449">
        <v>128</v>
      </c>
      <c r="AK24" s="93" t="s">
        <v>606</v>
      </c>
      <c r="AL24" s="428">
        <v>700</v>
      </c>
      <c r="AM24" s="429"/>
      <c r="AN24" s="93"/>
      <c r="AO24" s="428"/>
      <c r="AP24" s="429">
        <v>92</v>
      </c>
      <c r="AQ24" s="160">
        <v>46809</v>
      </c>
      <c r="AR24" s="448">
        <v>3125</v>
      </c>
      <c r="AS24" s="429">
        <v>141</v>
      </c>
      <c r="AT24" s="160">
        <v>46084</v>
      </c>
      <c r="AU24" s="428">
        <v>1583</v>
      </c>
      <c r="AV24" s="357" t="s">
        <v>276</v>
      </c>
      <c r="AW24" s="390" t="s">
        <v>621</v>
      </c>
      <c r="AX24" s="523">
        <v>1250</v>
      </c>
      <c r="AY24" s="524">
        <v>57</v>
      </c>
      <c r="AZ24" s="525" t="s">
        <v>639</v>
      </c>
      <c r="BA24" s="529">
        <v>7500</v>
      </c>
    </row>
    <row r="25" spans="1:53" ht="14.4" customHeight="1" thickBot="1" x14ac:dyDescent="0.35">
      <c r="A25" s="382"/>
      <c r="B25" s="382"/>
      <c r="C25" s="378"/>
      <c r="D25" s="153"/>
      <c r="E25" s="93">
        <v>119</v>
      </c>
      <c r="F25" s="93" t="s">
        <v>499</v>
      </c>
      <c r="G25" s="93">
        <v>1460</v>
      </c>
      <c r="H25" s="386">
        <v>117</v>
      </c>
      <c r="I25" s="382" t="s">
        <v>513</v>
      </c>
      <c r="J25" s="378">
        <v>1000</v>
      </c>
      <c r="K25" s="153"/>
      <c r="L25" s="392">
        <v>106</v>
      </c>
      <c r="M25" s="390" t="s">
        <v>518</v>
      </c>
      <c r="N25" s="396">
        <v>4000</v>
      </c>
      <c r="O25" s="93">
        <v>75</v>
      </c>
      <c r="P25" s="93" t="s">
        <v>532</v>
      </c>
      <c r="Q25" s="412">
        <v>8000</v>
      </c>
      <c r="R25" s="415">
        <v>33</v>
      </c>
      <c r="S25" s="408">
        <v>45811.693784722127</v>
      </c>
      <c r="T25" s="422">
        <v>7633</v>
      </c>
      <c r="U25" s="93" t="s">
        <v>558</v>
      </c>
      <c r="V25" s="160">
        <v>45877</v>
      </c>
      <c r="W25" s="442">
        <v>2500</v>
      </c>
      <c r="X25" s="429" t="s">
        <v>558</v>
      </c>
      <c r="Y25" s="160">
        <v>45877</v>
      </c>
      <c r="Z25" s="448">
        <v>2500</v>
      </c>
      <c r="AA25" s="429">
        <v>71</v>
      </c>
      <c r="AB25" s="160">
        <v>45908</v>
      </c>
      <c r="AC25" s="448">
        <v>2300</v>
      </c>
      <c r="AD25" s="446">
        <v>98</v>
      </c>
      <c r="AE25" s="424" t="s">
        <v>569</v>
      </c>
      <c r="AF25" s="438">
        <v>4167</v>
      </c>
      <c r="AG25" s="435">
        <v>130</v>
      </c>
      <c r="AH25" s="390" t="s">
        <v>580</v>
      </c>
      <c r="AI25" s="433">
        <v>2459</v>
      </c>
      <c r="AJ25" s="449">
        <v>129</v>
      </c>
      <c r="AK25" s="93" t="s">
        <v>606</v>
      </c>
      <c r="AL25" s="428">
        <v>700</v>
      </c>
      <c r="AM25" s="473" t="s">
        <v>173</v>
      </c>
      <c r="AN25" s="469"/>
      <c r="AO25" s="474">
        <v>73383</v>
      </c>
      <c r="AP25" s="429">
        <v>93</v>
      </c>
      <c r="AQ25" s="160">
        <v>46065</v>
      </c>
      <c r="AR25" s="448">
        <v>3500</v>
      </c>
      <c r="AS25" s="429">
        <v>148</v>
      </c>
      <c r="AT25" s="160">
        <v>46084</v>
      </c>
      <c r="AU25" s="428">
        <v>1045</v>
      </c>
      <c r="AV25" s="357">
        <v>112</v>
      </c>
      <c r="AW25" s="390" t="s">
        <v>622</v>
      </c>
      <c r="AX25" s="523">
        <v>2084</v>
      </c>
      <c r="AY25" s="524">
        <v>61</v>
      </c>
      <c r="AZ25" s="525" t="s">
        <v>644</v>
      </c>
      <c r="BA25" s="529">
        <v>6000</v>
      </c>
    </row>
    <row r="26" spans="1:53" ht="14.4" customHeight="1" x14ac:dyDescent="0.3">
      <c r="A26" s="382"/>
      <c r="B26" s="382"/>
      <c r="C26" s="378"/>
      <c r="D26" s="153"/>
      <c r="E26" s="93">
        <v>123</v>
      </c>
      <c r="F26" s="93" t="s">
        <v>499</v>
      </c>
      <c r="G26" s="93">
        <v>3000</v>
      </c>
      <c r="H26" s="386">
        <v>130</v>
      </c>
      <c r="I26" s="382" t="s">
        <v>507</v>
      </c>
      <c r="J26" s="378">
        <v>2750</v>
      </c>
      <c r="K26" s="153"/>
      <c r="L26" s="392">
        <v>107</v>
      </c>
      <c r="M26" s="390" t="s">
        <v>524</v>
      </c>
      <c r="N26" s="396">
        <v>6417</v>
      </c>
      <c r="O26" s="93">
        <v>83</v>
      </c>
      <c r="P26" s="93">
        <v>45782</v>
      </c>
      <c r="Q26" s="412">
        <v>4500</v>
      </c>
      <c r="R26" s="414">
        <v>38</v>
      </c>
      <c r="S26" s="408">
        <v>45814.64108796278</v>
      </c>
      <c r="T26" s="422">
        <v>2235</v>
      </c>
      <c r="U26" s="93">
        <v>111</v>
      </c>
      <c r="V26" s="160">
        <v>45870</v>
      </c>
      <c r="W26" s="442">
        <v>16500</v>
      </c>
      <c r="X26" s="429">
        <v>111</v>
      </c>
      <c r="Y26" s="160">
        <v>45870</v>
      </c>
      <c r="Z26" s="448">
        <v>16500</v>
      </c>
      <c r="AA26" s="429">
        <v>76</v>
      </c>
      <c r="AB26" s="160">
        <v>45919</v>
      </c>
      <c r="AC26" s="448">
        <v>1000</v>
      </c>
      <c r="AD26" s="446">
        <v>99</v>
      </c>
      <c r="AE26" s="424" t="s">
        <v>569</v>
      </c>
      <c r="AF26" s="438">
        <v>4167</v>
      </c>
      <c r="AG26" s="435">
        <v>142</v>
      </c>
      <c r="AH26" s="390" t="s">
        <v>583</v>
      </c>
      <c r="AI26" s="433">
        <v>3500</v>
      </c>
      <c r="AJ26" s="449">
        <v>136</v>
      </c>
      <c r="AK26" s="93" t="s">
        <v>595</v>
      </c>
      <c r="AL26" s="428">
        <v>6500</v>
      </c>
      <c r="AP26" s="429">
        <v>94</v>
      </c>
      <c r="AQ26" s="160">
        <v>46072</v>
      </c>
      <c r="AR26" s="448">
        <v>8334</v>
      </c>
      <c r="AS26" s="429">
        <v>148</v>
      </c>
      <c r="AT26" s="160">
        <v>46112</v>
      </c>
      <c r="AU26" s="428">
        <v>1045</v>
      </c>
      <c r="AV26" s="357" t="s">
        <v>623</v>
      </c>
      <c r="AW26" s="390" t="s">
        <v>624</v>
      </c>
      <c r="AX26" s="523">
        <v>79233</v>
      </c>
      <c r="AY26" s="432">
        <v>69</v>
      </c>
      <c r="AZ26" s="525" t="s">
        <v>538</v>
      </c>
      <c r="BA26" s="529">
        <v>12500</v>
      </c>
    </row>
    <row r="27" spans="1:53" ht="14.4" customHeight="1" x14ac:dyDescent="0.3">
      <c r="A27" s="382"/>
      <c r="B27" s="382"/>
      <c r="C27" s="378"/>
      <c r="D27" s="153"/>
      <c r="E27" s="93">
        <v>123</v>
      </c>
      <c r="F27" s="93" t="s">
        <v>499</v>
      </c>
      <c r="G27" s="93">
        <v>3500</v>
      </c>
      <c r="H27" s="386">
        <v>140</v>
      </c>
      <c r="I27" s="382" t="s">
        <v>504</v>
      </c>
      <c r="J27" s="378">
        <v>2750</v>
      </c>
      <c r="K27" s="153"/>
      <c r="L27" s="392">
        <v>112</v>
      </c>
      <c r="M27" s="390" t="s">
        <v>525</v>
      </c>
      <c r="N27" s="396">
        <v>1833</v>
      </c>
      <c r="O27" s="93">
        <v>87</v>
      </c>
      <c r="P27" s="93" t="s">
        <v>540</v>
      </c>
      <c r="Q27" s="412">
        <v>2000</v>
      </c>
      <c r="R27" s="415">
        <v>39</v>
      </c>
      <c r="S27" s="408">
        <v>45813.613101851661</v>
      </c>
      <c r="T27" s="422">
        <v>2000</v>
      </c>
      <c r="U27" s="93">
        <v>117</v>
      </c>
      <c r="V27" s="160">
        <v>45880</v>
      </c>
      <c r="W27" s="442">
        <v>1000</v>
      </c>
      <c r="X27" s="429">
        <v>117</v>
      </c>
      <c r="Y27" s="160">
        <v>45880</v>
      </c>
      <c r="Z27" s="448">
        <v>1000</v>
      </c>
      <c r="AA27" s="429">
        <v>78</v>
      </c>
      <c r="AB27" s="160">
        <v>45919</v>
      </c>
      <c r="AC27" s="428">
        <v>500</v>
      </c>
      <c r="AD27" s="444">
        <v>105</v>
      </c>
      <c r="AE27" s="424" t="s">
        <v>570</v>
      </c>
      <c r="AF27" s="438">
        <v>4167</v>
      </c>
      <c r="AG27" s="435">
        <v>143</v>
      </c>
      <c r="AH27" s="390" t="s">
        <v>583</v>
      </c>
      <c r="AI27" s="433">
        <v>3500</v>
      </c>
      <c r="AJ27" s="449">
        <v>137</v>
      </c>
      <c r="AK27" s="93" t="s">
        <v>595</v>
      </c>
      <c r="AL27" s="428">
        <v>6500</v>
      </c>
      <c r="AP27" s="470" t="s">
        <v>608</v>
      </c>
      <c r="AQ27" s="160">
        <v>46065</v>
      </c>
      <c r="AR27" s="471">
        <v>6250</v>
      </c>
      <c r="AS27" s="429">
        <v>161</v>
      </c>
      <c r="AT27" s="160">
        <v>46098</v>
      </c>
      <c r="AU27" s="428">
        <v>200</v>
      </c>
      <c r="AV27" s="357">
        <v>117</v>
      </c>
      <c r="AW27" s="390" t="s">
        <v>613</v>
      </c>
      <c r="AX27" s="523">
        <v>1000</v>
      </c>
      <c r="AY27" s="432">
        <v>70</v>
      </c>
      <c r="AZ27" s="525" t="s">
        <v>538</v>
      </c>
      <c r="BA27" s="529">
        <v>12500</v>
      </c>
    </row>
    <row r="28" spans="1:53" ht="14.4" customHeight="1" x14ac:dyDescent="0.3">
      <c r="A28" s="382"/>
      <c r="B28" s="382"/>
      <c r="C28" s="378"/>
      <c r="D28" s="153"/>
      <c r="E28" s="93">
        <v>124</v>
      </c>
      <c r="F28" s="93" t="s">
        <v>493</v>
      </c>
      <c r="G28" s="93">
        <v>3660</v>
      </c>
      <c r="H28" s="386">
        <v>141</v>
      </c>
      <c r="I28" s="382" t="s">
        <v>505</v>
      </c>
      <c r="J28" s="378">
        <v>3650</v>
      </c>
      <c r="K28" s="153"/>
      <c r="L28" s="392">
        <v>142</v>
      </c>
      <c r="M28" s="390" t="s">
        <v>523</v>
      </c>
      <c r="N28" s="396">
        <v>2750</v>
      </c>
      <c r="O28" s="93">
        <v>90</v>
      </c>
      <c r="P28" s="93" t="s">
        <v>537</v>
      </c>
      <c r="Q28" s="412">
        <v>2750</v>
      </c>
      <c r="R28" s="415">
        <v>39</v>
      </c>
      <c r="S28" s="408">
        <v>45813.611759259365</v>
      </c>
      <c r="T28" s="422">
        <v>5500</v>
      </c>
      <c r="U28" s="93">
        <v>128</v>
      </c>
      <c r="V28" s="160">
        <v>45872</v>
      </c>
      <c r="W28" s="442">
        <v>11000</v>
      </c>
      <c r="X28" s="429">
        <v>128</v>
      </c>
      <c r="Y28" s="160">
        <v>45872</v>
      </c>
      <c r="Z28" s="448">
        <v>11000</v>
      </c>
      <c r="AA28" s="429">
        <v>78</v>
      </c>
      <c r="AB28" s="160">
        <v>45919</v>
      </c>
      <c r="AC28" s="428">
        <v>500</v>
      </c>
      <c r="AD28" s="445">
        <v>106</v>
      </c>
      <c r="AE28" s="424" t="s">
        <v>571</v>
      </c>
      <c r="AF28" s="438">
        <v>4900</v>
      </c>
      <c r="AG28" s="432">
        <v>144</v>
      </c>
      <c r="AH28" s="390" t="s">
        <v>583</v>
      </c>
      <c r="AI28" s="433">
        <v>3500</v>
      </c>
      <c r="AJ28" s="449">
        <v>138</v>
      </c>
      <c r="AK28" s="93" t="s">
        <v>595</v>
      </c>
      <c r="AL28" s="428">
        <v>6500</v>
      </c>
      <c r="AP28" s="429">
        <v>103</v>
      </c>
      <c r="AQ28" s="160">
        <v>46065</v>
      </c>
      <c r="AR28" s="448">
        <v>12500</v>
      </c>
      <c r="AS28" s="429">
        <v>161</v>
      </c>
      <c r="AT28" s="160">
        <v>46109</v>
      </c>
      <c r="AU28" s="428">
        <v>2000</v>
      </c>
      <c r="AV28" s="357">
        <v>123</v>
      </c>
      <c r="AW28" s="390" t="s">
        <v>617</v>
      </c>
      <c r="AX28" s="523">
        <v>5000</v>
      </c>
      <c r="AY28" s="524">
        <v>71</v>
      </c>
      <c r="AZ28" s="525" t="s">
        <v>639</v>
      </c>
      <c r="BA28" s="529">
        <v>11000</v>
      </c>
    </row>
    <row r="29" spans="1:53" ht="14.4" customHeight="1" x14ac:dyDescent="0.3">
      <c r="A29" s="382"/>
      <c r="B29" s="382"/>
      <c r="C29" s="378"/>
      <c r="D29" s="153"/>
      <c r="E29" s="93">
        <v>124</v>
      </c>
      <c r="F29" s="93" t="s">
        <v>493</v>
      </c>
      <c r="G29" s="93">
        <v>4000</v>
      </c>
      <c r="H29" s="386">
        <v>146</v>
      </c>
      <c r="I29" s="382" t="s">
        <v>514</v>
      </c>
      <c r="J29" s="378">
        <v>4250</v>
      </c>
      <c r="K29" s="153"/>
      <c r="L29" s="392">
        <v>143</v>
      </c>
      <c r="M29" s="390" t="s">
        <v>523</v>
      </c>
      <c r="N29" s="396">
        <v>2750</v>
      </c>
      <c r="O29" s="93">
        <v>91</v>
      </c>
      <c r="P29" s="93" t="s">
        <v>538</v>
      </c>
      <c r="Q29" s="412">
        <v>2750</v>
      </c>
      <c r="R29" s="415">
        <v>41</v>
      </c>
      <c r="S29" s="408">
        <v>45811.620023148134</v>
      </c>
      <c r="T29" s="422">
        <v>1000</v>
      </c>
      <c r="U29" s="93">
        <v>129</v>
      </c>
      <c r="V29" s="160">
        <v>45872</v>
      </c>
      <c r="W29" s="442">
        <v>11000</v>
      </c>
      <c r="X29" s="429">
        <v>129</v>
      </c>
      <c r="Y29" s="160">
        <v>45872</v>
      </c>
      <c r="Z29" s="448">
        <v>11000</v>
      </c>
      <c r="AA29" s="429">
        <v>78</v>
      </c>
      <c r="AB29" s="160">
        <v>45919</v>
      </c>
      <c r="AC29" s="448">
        <v>1000</v>
      </c>
      <c r="AD29" s="446">
        <v>112</v>
      </c>
      <c r="AE29" s="424" t="s">
        <v>572</v>
      </c>
      <c r="AF29" s="438">
        <v>2335</v>
      </c>
      <c r="AG29" s="435">
        <v>145</v>
      </c>
      <c r="AH29" s="390" t="s">
        <v>583</v>
      </c>
      <c r="AI29" s="433">
        <v>3500</v>
      </c>
      <c r="AJ29" s="449">
        <v>140</v>
      </c>
      <c r="AK29" s="93" t="s">
        <v>602</v>
      </c>
      <c r="AL29" s="428">
        <v>3250</v>
      </c>
      <c r="AP29" s="429">
        <v>112</v>
      </c>
      <c r="AQ29" s="160">
        <v>46078</v>
      </c>
      <c r="AR29" s="448">
        <v>2084</v>
      </c>
      <c r="AS29" s="429"/>
      <c r="AT29" s="93"/>
      <c r="AU29" s="428"/>
      <c r="AV29" s="357">
        <v>130</v>
      </c>
      <c r="AW29" s="390" t="s">
        <v>617</v>
      </c>
      <c r="AX29" s="523">
        <v>1042</v>
      </c>
      <c r="AY29" s="524">
        <v>74</v>
      </c>
      <c r="AZ29" s="525" t="s">
        <v>635</v>
      </c>
      <c r="BA29" s="529">
        <v>6250</v>
      </c>
    </row>
    <row r="30" spans="1:53" ht="14.4" customHeight="1" thickBot="1" x14ac:dyDescent="0.35">
      <c r="A30" s="382"/>
      <c r="B30" s="382"/>
      <c r="C30" s="384"/>
      <c r="D30" s="153"/>
      <c r="E30" s="93">
        <v>124</v>
      </c>
      <c r="F30" s="93" t="s">
        <v>493</v>
      </c>
      <c r="G30" s="93">
        <v>7333</v>
      </c>
      <c r="H30" s="386">
        <v>146</v>
      </c>
      <c r="I30" s="382" t="s">
        <v>511</v>
      </c>
      <c r="J30" s="384">
        <v>11500</v>
      </c>
      <c r="K30" s="153"/>
      <c r="L30" s="357">
        <v>144</v>
      </c>
      <c r="M30" s="390" t="s">
        <v>523</v>
      </c>
      <c r="N30" s="396">
        <v>2750</v>
      </c>
      <c r="O30" s="93">
        <v>92</v>
      </c>
      <c r="P30" s="93" t="s">
        <v>539</v>
      </c>
      <c r="Q30" s="412">
        <v>2750</v>
      </c>
      <c r="R30" s="416">
        <v>41</v>
      </c>
      <c r="S30" s="408">
        <v>45812.579479166772</v>
      </c>
      <c r="T30" s="422">
        <v>3000</v>
      </c>
      <c r="U30" s="93">
        <v>130</v>
      </c>
      <c r="V30" s="160">
        <v>45873</v>
      </c>
      <c r="W30" s="442">
        <v>2750</v>
      </c>
      <c r="X30" s="429">
        <v>130</v>
      </c>
      <c r="Y30" s="160">
        <v>45873</v>
      </c>
      <c r="Z30" s="448">
        <v>2750</v>
      </c>
      <c r="AA30" s="429">
        <v>79</v>
      </c>
      <c r="AB30" s="160">
        <v>45903</v>
      </c>
      <c r="AC30" s="448">
        <v>4000</v>
      </c>
      <c r="AD30" s="445">
        <v>114</v>
      </c>
      <c r="AE30" s="424" t="s">
        <v>573</v>
      </c>
      <c r="AF30" s="438">
        <v>4167</v>
      </c>
      <c r="AG30" s="435">
        <v>148</v>
      </c>
      <c r="AH30" s="390" t="s">
        <v>585</v>
      </c>
      <c r="AI30" s="433">
        <v>1045</v>
      </c>
      <c r="AJ30" s="449">
        <v>141</v>
      </c>
      <c r="AK30" s="93" t="s">
        <v>595</v>
      </c>
      <c r="AL30" s="428">
        <v>3084</v>
      </c>
      <c r="AP30" s="429">
        <v>117</v>
      </c>
      <c r="AQ30" s="160">
        <v>46057</v>
      </c>
      <c r="AR30" s="448">
        <v>1000</v>
      </c>
      <c r="AS30" s="472" t="s">
        <v>173</v>
      </c>
      <c r="AT30" s="473"/>
      <c r="AU30" s="475">
        <v>98705.01</v>
      </c>
      <c r="AV30" s="357">
        <v>141</v>
      </c>
      <c r="AW30" s="390" t="s">
        <v>617</v>
      </c>
      <c r="AX30" s="523">
        <v>2083</v>
      </c>
      <c r="AY30" s="524">
        <v>75</v>
      </c>
      <c r="AZ30" s="525" t="s">
        <v>634</v>
      </c>
      <c r="BA30" s="529">
        <v>12500</v>
      </c>
    </row>
    <row r="31" spans="1:53" ht="14.4" customHeight="1" x14ac:dyDescent="0.3">
      <c r="A31" s="382"/>
      <c r="B31" s="382"/>
      <c r="C31" s="378"/>
      <c r="D31" s="153"/>
      <c r="E31" s="93">
        <v>125</v>
      </c>
      <c r="F31" s="93" t="s">
        <v>493</v>
      </c>
      <c r="G31" s="93">
        <v>3660</v>
      </c>
      <c r="H31" s="386">
        <v>148</v>
      </c>
      <c r="I31" s="382" t="s">
        <v>510</v>
      </c>
      <c r="J31" s="378">
        <v>1834</v>
      </c>
      <c r="K31" s="153"/>
      <c r="L31" s="357">
        <v>145</v>
      </c>
      <c r="M31" s="390" t="s">
        <v>523</v>
      </c>
      <c r="N31" s="396">
        <v>2750</v>
      </c>
      <c r="O31" s="93">
        <v>97</v>
      </c>
      <c r="P31" s="93" t="s">
        <v>532</v>
      </c>
      <c r="Q31" s="412">
        <v>5500</v>
      </c>
      <c r="R31" s="415">
        <v>42</v>
      </c>
      <c r="S31" s="408">
        <v>45813.83234953694</v>
      </c>
      <c r="T31" s="422">
        <v>2000</v>
      </c>
      <c r="U31" s="93">
        <v>142</v>
      </c>
      <c r="V31" s="160">
        <v>45875</v>
      </c>
      <c r="W31" s="442">
        <v>2750</v>
      </c>
      <c r="X31" s="429">
        <v>142</v>
      </c>
      <c r="Y31" s="160">
        <v>45875</v>
      </c>
      <c r="Z31" s="448">
        <v>2750</v>
      </c>
      <c r="AA31" s="429">
        <v>80</v>
      </c>
      <c r="AB31" s="160">
        <v>45902</v>
      </c>
      <c r="AC31" s="448">
        <v>2167</v>
      </c>
      <c r="AD31" s="445">
        <v>117</v>
      </c>
      <c r="AE31" s="424" t="s">
        <v>574</v>
      </c>
      <c r="AF31" s="438">
        <v>1000</v>
      </c>
      <c r="AG31" s="435">
        <v>150</v>
      </c>
      <c r="AH31" s="390" t="s">
        <v>578</v>
      </c>
      <c r="AI31" s="433">
        <v>5500</v>
      </c>
      <c r="AJ31" s="449">
        <v>148</v>
      </c>
      <c r="AK31" s="93" t="s">
        <v>595</v>
      </c>
      <c r="AL31" s="428">
        <v>2090</v>
      </c>
      <c r="AP31" s="429">
        <v>130</v>
      </c>
      <c r="AQ31" s="160">
        <v>46057</v>
      </c>
      <c r="AR31" s="448">
        <v>3125</v>
      </c>
      <c r="AV31" s="357">
        <v>147</v>
      </c>
      <c r="AW31" s="390" t="s">
        <v>624</v>
      </c>
      <c r="AX31" s="523">
        <v>12500</v>
      </c>
      <c r="AY31" s="524">
        <v>77</v>
      </c>
      <c r="AZ31" s="525" t="s">
        <v>636</v>
      </c>
      <c r="BA31" s="529">
        <v>6000</v>
      </c>
    </row>
    <row r="32" spans="1:53" ht="14.4" customHeight="1" x14ac:dyDescent="0.3">
      <c r="A32" s="382"/>
      <c r="B32" s="382"/>
      <c r="C32" s="381"/>
      <c r="D32" s="153"/>
      <c r="E32" s="93">
        <v>125</v>
      </c>
      <c r="F32" s="93" t="s">
        <v>493</v>
      </c>
      <c r="G32" s="93">
        <v>7333</v>
      </c>
      <c r="H32" s="386">
        <v>153</v>
      </c>
      <c r="I32" s="382" t="s">
        <v>510</v>
      </c>
      <c r="J32" s="381">
        <v>7082</v>
      </c>
      <c r="K32" s="153"/>
      <c r="L32" s="357">
        <v>148</v>
      </c>
      <c r="M32" s="390" t="s">
        <v>529</v>
      </c>
      <c r="N32" s="396">
        <v>917</v>
      </c>
      <c r="O32" s="93">
        <v>98</v>
      </c>
      <c r="P32" s="93" t="s">
        <v>534</v>
      </c>
      <c r="Q32" s="412">
        <v>9166</v>
      </c>
      <c r="R32" s="415">
        <v>43</v>
      </c>
      <c r="S32" s="408">
        <v>45813.830752315</v>
      </c>
      <c r="T32" s="422">
        <v>2000</v>
      </c>
      <c r="U32" s="93">
        <v>143</v>
      </c>
      <c r="V32" s="160">
        <v>45875</v>
      </c>
      <c r="W32" s="442">
        <v>2750</v>
      </c>
      <c r="X32" s="429">
        <v>143</v>
      </c>
      <c r="Y32" s="160">
        <v>45875</v>
      </c>
      <c r="Z32" s="448">
        <v>2750</v>
      </c>
      <c r="AA32" s="429">
        <v>81</v>
      </c>
      <c r="AB32" s="160">
        <v>45908</v>
      </c>
      <c r="AC32" s="448">
        <v>2750</v>
      </c>
      <c r="AD32" s="445">
        <v>121</v>
      </c>
      <c r="AE32" s="424" t="s">
        <v>575</v>
      </c>
      <c r="AF32" s="438">
        <v>4167</v>
      </c>
      <c r="AG32" s="435">
        <v>151</v>
      </c>
      <c r="AH32" s="390" t="s">
        <v>592</v>
      </c>
      <c r="AI32" s="433">
        <v>2000</v>
      </c>
      <c r="AJ32" s="449">
        <v>160</v>
      </c>
      <c r="AK32" s="93" t="s">
        <v>607</v>
      </c>
      <c r="AL32" s="428">
        <v>6000</v>
      </c>
      <c r="AP32" s="429">
        <v>148</v>
      </c>
      <c r="AQ32" s="160">
        <v>46056</v>
      </c>
      <c r="AR32" s="448">
        <v>1045</v>
      </c>
      <c r="AV32" s="357">
        <v>148</v>
      </c>
      <c r="AW32" s="390" t="s">
        <v>615</v>
      </c>
      <c r="AX32" s="523">
        <v>1045</v>
      </c>
      <c r="AY32" s="524">
        <v>78</v>
      </c>
      <c r="AZ32" s="525" t="s">
        <v>636</v>
      </c>
      <c r="BA32" s="529">
        <v>15500</v>
      </c>
    </row>
    <row r="33" spans="1:53" ht="14.4" customHeight="1" x14ac:dyDescent="0.3">
      <c r="A33" s="382"/>
      <c r="B33" s="382"/>
      <c r="C33" s="378"/>
      <c r="D33" s="153"/>
      <c r="E33" s="93">
        <v>125</v>
      </c>
      <c r="F33" s="93" t="s">
        <v>500</v>
      </c>
      <c r="G33" s="93">
        <v>4000</v>
      </c>
      <c r="H33" s="386">
        <v>156</v>
      </c>
      <c r="I33" s="382" t="s">
        <v>511</v>
      </c>
      <c r="J33" s="378">
        <v>3670</v>
      </c>
      <c r="K33" s="153"/>
      <c r="L33" s="394">
        <v>149</v>
      </c>
      <c r="M33" s="390" t="s">
        <v>526</v>
      </c>
      <c r="N33" s="396">
        <v>11000</v>
      </c>
      <c r="O33" s="93">
        <v>99</v>
      </c>
      <c r="P33" s="93" t="s">
        <v>534</v>
      </c>
      <c r="Q33" s="412">
        <v>9166</v>
      </c>
      <c r="R33" s="415">
        <v>44</v>
      </c>
      <c r="S33" s="408">
        <v>45819.472777777817</v>
      </c>
      <c r="T33" s="422">
        <v>15200</v>
      </c>
      <c r="U33" s="93">
        <v>144</v>
      </c>
      <c r="V33" s="160">
        <v>45875</v>
      </c>
      <c r="W33" s="442">
        <v>2750</v>
      </c>
      <c r="X33" s="429">
        <v>144</v>
      </c>
      <c r="Y33" s="160">
        <v>45875</v>
      </c>
      <c r="Z33" s="448">
        <v>2750</v>
      </c>
      <c r="AA33" s="429">
        <v>82</v>
      </c>
      <c r="AB33" s="160">
        <v>45919</v>
      </c>
      <c r="AC33" s="448">
        <v>1000</v>
      </c>
      <c r="AD33" s="445">
        <v>130</v>
      </c>
      <c r="AE33" s="424" t="s">
        <v>575</v>
      </c>
      <c r="AF33" s="438">
        <v>916</v>
      </c>
      <c r="AG33" s="435">
        <v>152</v>
      </c>
      <c r="AH33" s="390" t="s">
        <v>577</v>
      </c>
      <c r="AI33" s="433">
        <v>3668</v>
      </c>
      <c r="AJ33" s="449">
        <v>162</v>
      </c>
      <c r="AK33" s="93" t="s">
        <v>607</v>
      </c>
      <c r="AL33" s="428">
        <v>6000</v>
      </c>
      <c r="AP33" s="429">
        <v>150</v>
      </c>
      <c r="AQ33" s="160">
        <v>46061</v>
      </c>
      <c r="AR33" s="448">
        <v>5000</v>
      </c>
      <c r="AV33" s="357">
        <v>156</v>
      </c>
      <c r="AW33" s="390" t="s">
        <v>625</v>
      </c>
      <c r="AX33" s="523">
        <v>5000</v>
      </c>
      <c r="AY33" s="524">
        <v>83</v>
      </c>
      <c r="AZ33" s="525" t="s">
        <v>634</v>
      </c>
      <c r="BA33" s="529">
        <v>13200</v>
      </c>
    </row>
    <row r="34" spans="1:53" ht="14.4" customHeight="1" x14ac:dyDescent="0.3">
      <c r="A34" s="382"/>
      <c r="B34" s="382"/>
      <c r="C34" s="378"/>
      <c r="D34" s="153"/>
      <c r="E34" s="93">
        <v>146</v>
      </c>
      <c r="F34" s="93" t="s">
        <v>494</v>
      </c>
      <c r="G34" s="93">
        <v>3000</v>
      </c>
      <c r="H34" s="386">
        <v>161</v>
      </c>
      <c r="I34" s="382" t="s">
        <v>515</v>
      </c>
      <c r="J34" s="378">
        <v>7634</v>
      </c>
      <c r="K34" s="153"/>
      <c r="L34" s="357">
        <v>152</v>
      </c>
      <c r="M34" s="390" t="s">
        <v>520</v>
      </c>
      <c r="N34" s="396">
        <v>2750</v>
      </c>
      <c r="O34" s="93">
        <v>114</v>
      </c>
      <c r="P34" s="93" t="s">
        <v>532</v>
      </c>
      <c r="Q34" s="412">
        <v>5500</v>
      </c>
      <c r="R34" s="415">
        <v>45</v>
      </c>
      <c r="S34" s="408">
        <v>45810.03822916653</v>
      </c>
      <c r="T34" s="422">
        <v>5500</v>
      </c>
      <c r="U34" s="93">
        <v>145</v>
      </c>
      <c r="V34" s="160">
        <v>45875</v>
      </c>
      <c r="W34" s="442">
        <v>2750</v>
      </c>
      <c r="X34" s="429">
        <v>145</v>
      </c>
      <c r="Y34" s="160">
        <v>45875</v>
      </c>
      <c r="Z34" s="448">
        <v>2750</v>
      </c>
      <c r="AA34" s="429">
        <v>90</v>
      </c>
      <c r="AB34" s="160">
        <v>45919</v>
      </c>
      <c r="AC34" s="448">
        <v>2750</v>
      </c>
      <c r="AD34" s="445">
        <v>133</v>
      </c>
      <c r="AE34" s="424" t="s">
        <v>565</v>
      </c>
      <c r="AF34" s="438">
        <v>15190</v>
      </c>
      <c r="AG34" s="436">
        <v>153</v>
      </c>
      <c r="AH34" s="390" t="s">
        <v>591</v>
      </c>
      <c r="AI34" s="433">
        <v>4292</v>
      </c>
      <c r="AJ34" s="447" t="s">
        <v>173</v>
      </c>
      <c r="AK34" s="93"/>
      <c r="AL34" s="451">
        <f>SUM(AL4:AL33)</f>
        <v>119873.02</v>
      </c>
      <c r="AP34" s="429">
        <v>152</v>
      </c>
      <c r="AQ34" s="160">
        <v>46056</v>
      </c>
      <c r="AR34" s="448">
        <v>4800</v>
      </c>
      <c r="AV34" s="447" t="s">
        <v>173</v>
      </c>
      <c r="AW34" s="93"/>
      <c r="AX34" s="526">
        <f>SUM(AX4:AX33)</f>
        <v>184730.01</v>
      </c>
      <c r="AY34" s="524">
        <v>86</v>
      </c>
      <c r="AZ34" s="525" t="s">
        <v>645</v>
      </c>
      <c r="BA34" s="529">
        <v>10000</v>
      </c>
    </row>
    <row r="35" spans="1:53" ht="14.4" customHeight="1" x14ac:dyDescent="0.3">
      <c r="A35" s="382"/>
      <c r="B35" s="382"/>
      <c r="C35" s="378"/>
      <c r="D35" s="153"/>
      <c r="E35" s="93">
        <v>148</v>
      </c>
      <c r="F35" s="93" t="s">
        <v>501</v>
      </c>
      <c r="G35" s="93">
        <v>917</v>
      </c>
      <c r="H35" s="386"/>
      <c r="I35" s="382"/>
      <c r="J35" s="378"/>
      <c r="K35" s="153"/>
      <c r="L35" s="386"/>
      <c r="M35" s="382"/>
      <c r="N35" s="396"/>
      <c r="O35" s="93">
        <v>117</v>
      </c>
      <c r="P35" s="93" t="s">
        <v>532</v>
      </c>
      <c r="Q35" s="412">
        <v>1000</v>
      </c>
      <c r="R35" s="414">
        <v>54</v>
      </c>
      <c r="S35" s="408">
        <v>45821.139421296306</v>
      </c>
      <c r="T35" s="422">
        <v>1500</v>
      </c>
      <c r="U35" s="93">
        <v>148</v>
      </c>
      <c r="V35" s="160">
        <v>45870</v>
      </c>
      <c r="W35" s="442">
        <v>1834</v>
      </c>
      <c r="X35" s="429">
        <v>148</v>
      </c>
      <c r="Y35" s="160">
        <v>45870</v>
      </c>
      <c r="Z35" s="448">
        <v>1834</v>
      </c>
      <c r="AA35" s="429">
        <v>91</v>
      </c>
      <c r="AB35" s="160">
        <v>45919</v>
      </c>
      <c r="AC35" s="448">
        <v>2750</v>
      </c>
      <c r="AD35" s="443">
        <v>134</v>
      </c>
      <c r="AE35" s="424" t="s">
        <v>562</v>
      </c>
      <c r="AF35" s="438">
        <v>11000</v>
      </c>
      <c r="AG35" s="435">
        <v>161</v>
      </c>
      <c r="AH35" s="390" t="s">
        <v>587</v>
      </c>
      <c r="AI35" s="433">
        <v>1000</v>
      </c>
      <c r="AP35" s="429">
        <v>157</v>
      </c>
      <c r="AQ35" s="160">
        <v>46071</v>
      </c>
      <c r="AR35" s="471">
        <v>500</v>
      </c>
      <c r="AY35" s="432">
        <v>93</v>
      </c>
      <c r="AZ35" s="525" t="s">
        <v>641</v>
      </c>
      <c r="BA35" s="529">
        <v>3500</v>
      </c>
    </row>
    <row r="36" spans="1:53" ht="14.4" customHeight="1" x14ac:dyDescent="0.3">
      <c r="A36" s="382"/>
      <c r="B36" s="382"/>
      <c r="C36" s="378"/>
      <c r="D36" s="153"/>
      <c r="E36" s="93"/>
      <c r="F36" s="93"/>
      <c r="G36" s="93"/>
      <c r="H36" s="386"/>
      <c r="I36" s="382"/>
      <c r="J36" s="378"/>
      <c r="K36" s="153"/>
      <c r="L36" s="386"/>
      <c r="M36" s="382"/>
      <c r="N36" s="396"/>
      <c r="O36" s="93">
        <v>119</v>
      </c>
      <c r="P36" s="93" t="s">
        <v>542</v>
      </c>
      <c r="Q36" s="412">
        <v>9407</v>
      </c>
      <c r="R36" s="414">
        <v>58</v>
      </c>
      <c r="S36" s="408">
        <v>45821.719224537257</v>
      </c>
      <c r="T36" s="422">
        <v>8500</v>
      </c>
      <c r="U36" s="93">
        <v>160</v>
      </c>
      <c r="V36" s="160">
        <v>45882</v>
      </c>
      <c r="W36" s="442">
        <v>6500</v>
      </c>
      <c r="X36" s="429">
        <v>160</v>
      </c>
      <c r="Y36" s="160">
        <v>45882</v>
      </c>
      <c r="Z36" s="448">
        <v>6500</v>
      </c>
      <c r="AA36" s="429">
        <v>92</v>
      </c>
      <c r="AB36" s="160">
        <v>45919</v>
      </c>
      <c r="AC36" s="448">
        <v>2750</v>
      </c>
      <c r="AD36" s="445">
        <v>148</v>
      </c>
      <c r="AE36" s="424" t="s">
        <v>576</v>
      </c>
      <c r="AF36" s="438">
        <v>1420</v>
      </c>
      <c r="AG36" s="437"/>
      <c r="AH36" s="424"/>
      <c r="AI36" s="438"/>
      <c r="AP36" s="429">
        <v>157</v>
      </c>
      <c r="AQ36" s="160">
        <v>46071</v>
      </c>
      <c r="AR36" s="448">
        <v>5084</v>
      </c>
      <c r="AY36" s="435">
        <v>94</v>
      </c>
      <c r="AZ36" s="525" t="s">
        <v>637</v>
      </c>
      <c r="BA36" s="529">
        <v>4150</v>
      </c>
    </row>
    <row r="37" spans="1:53" ht="14.4" customHeight="1" x14ac:dyDescent="0.3">
      <c r="A37" s="382"/>
      <c r="B37" s="382"/>
      <c r="C37" s="378"/>
      <c r="D37" s="153"/>
      <c r="E37" s="93"/>
      <c r="F37" s="93"/>
      <c r="G37" s="93"/>
      <c r="H37" s="386"/>
      <c r="I37" s="382"/>
      <c r="J37" s="378"/>
      <c r="K37" s="153"/>
      <c r="L37" s="386"/>
      <c r="M37" s="382"/>
      <c r="N37" s="396"/>
      <c r="O37" s="93">
        <v>121</v>
      </c>
      <c r="P37" s="93" t="s">
        <v>536</v>
      </c>
      <c r="Q37" s="412">
        <v>5500</v>
      </c>
      <c r="R37" s="414">
        <v>59</v>
      </c>
      <c r="S37" s="408">
        <v>45828.347372685093</v>
      </c>
      <c r="T37" s="422">
        <v>82000</v>
      </c>
      <c r="U37" s="93">
        <v>162</v>
      </c>
      <c r="V37" s="160">
        <v>45882</v>
      </c>
      <c r="W37" s="442">
        <v>6500</v>
      </c>
      <c r="X37" s="429">
        <v>162</v>
      </c>
      <c r="Y37" s="160">
        <v>45882</v>
      </c>
      <c r="Z37" s="448">
        <v>6500</v>
      </c>
      <c r="AA37" s="429">
        <v>108</v>
      </c>
      <c r="AB37" s="160">
        <v>45926</v>
      </c>
      <c r="AC37" s="448">
        <v>12500</v>
      </c>
      <c r="AD37" s="445">
        <v>156</v>
      </c>
      <c r="AE37" s="425" t="s">
        <v>573</v>
      </c>
      <c r="AF37" s="439">
        <v>1834</v>
      </c>
      <c r="AG37" s="437"/>
      <c r="AH37" s="425"/>
      <c r="AI37" s="439"/>
      <c r="AP37" s="429">
        <v>158</v>
      </c>
      <c r="AQ37" s="160">
        <v>46436</v>
      </c>
      <c r="AR37" s="448">
        <v>5084</v>
      </c>
      <c r="AY37" s="524">
        <v>97</v>
      </c>
      <c r="AZ37" s="525" t="s">
        <v>646</v>
      </c>
      <c r="BA37" s="529">
        <v>7000</v>
      </c>
    </row>
    <row r="38" spans="1:53" ht="14.4" customHeight="1" x14ac:dyDescent="0.3">
      <c r="A38" s="382"/>
      <c r="B38" s="382"/>
      <c r="C38" s="378"/>
      <c r="D38" s="153"/>
      <c r="E38" s="93"/>
      <c r="F38" s="93"/>
      <c r="G38" s="93"/>
      <c r="H38" s="386"/>
      <c r="I38" s="382"/>
      <c r="J38" s="378"/>
      <c r="K38" s="153"/>
      <c r="L38" s="386"/>
      <c r="M38" s="382"/>
      <c r="N38" s="396"/>
      <c r="O38" s="93">
        <v>122</v>
      </c>
      <c r="P38" s="93" t="s">
        <v>533</v>
      </c>
      <c r="Q38" s="412">
        <v>10084</v>
      </c>
      <c r="R38" s="415">
        <v>60</v>
      </c>
      <c r="S38" s="408">
        <v>45821.664270833135</v>
      </c>
      <c r="T38" s="422">
        <v>5000</v>
      </c>
      <c r="U38" s="91" t="s">
        <v>173</v>
      </c>
      <c r="V38" s="91"/>
      <c r="W38" s="430">
        <v>143121</v>
      </c>
      <c r="X38" s="440" t="s">
        <v>173</v>
      </c>
      <c r="Y38" s="91"/>
      <c r="Z38" s="441">
        <v>143121</v>
      </c>
      <c r="AA38" s="429">
        <v>117</v>
      </c>
      <c r="AB38" s="160">
        <v>45909</v>
      </c>
      <c r="AC38" s="448">
        <v>1000</v>
      </c>
      <c r="AD38" s="447" t="s">
        <v>173</v>
      </c>
      <c r="AE38" s="91"/>
      <c r="AF38" s="441">
        <f>SUM(AF4:AF37)</f>
        <v>103228.02</v>
      </c>
      <c r="AG38" s="440" t="s">
        <v>173</v>
      </c>
      <c r="AH38" s="91"/>
      <c r="AI38" s="441">
        <f>SUM(AI4:AI37)</f>
        <v>121757</v>
      </c>
      <c r="AP38" s="429">
        <v>158</v>
      </c>
      <c r="AQ38" s="160">
        <v>46436</v>
      </c>
      <c r="AR38" s="471">
        <v>500</v>
      </c>
      <c r="AY38" s="524">
        <v>98</v>
      </c>
      <c r="AZ38" s="525" t="s">
        <v>637</v>
      </c>
      <c r="BA38" s="529">
        <v>8400</v>
      </c>
    </row>
    <row r="39" spans="1:53" ht="14.4" customHeight="1" x14ac:dyDescent="0.3">
      <c r="A39" s="382"/>
      <c r="B39" s="382"/>
      <c r="C39" s="379"/>
      <c r="D39" s="153"/>
      <c r="E39" s="93"/>
      <c r="F39" s="93"/>
      <c r="G39" s="93"/>
      <c r="H39" s="386"/>
      <c r="I39" s="382"/>
      <c r="J39" s="379"/>
      <c r="K39" s="153"/>
      <c r="L39" s="386"/>
      <c r="M39" s="382"/>
      <c r="N39" s="395"/>
      <c r="O39" s="93">
        <v>130</v>
      </c>
      <c r="P39" s="93" t="s">
        <v>532</v>
      </c>
      <c r="Q39" s="412">
        <v>1834</v>
      </c>
      <c r="R39" s="415">
        <v>61</v>
      </c>
      <c r="S39" s="408">
        <v>45815.129131944384</v>
      </c>
      <c r="T39" s="409">
        <v>3666</v>
      </c>
      <c r="AA39" s="429">
        <v>118</v>
      </c>
      <c r="AB39" s="160">
        <v>45903</v>
      </c>
      <c r="AC39" s="448">
        <v>4000</v>
      </c>
      <c r="AP39" s="429">
        <v>159</v>
      </c>
      <c r="AQ39" s="160">
        <v>46801</v>
      </c>
      <c r="AR39" s="471">
        <v>500</v>
      </c>
      <c r="AY39" s="524">
        <v>99</v>
      </c>
      <c r="AZ39" s="525" t="s">
        <v>637</v>
      </c>
      <c r="BA39" s="529">
        <v>8400</v>
      </c>
    </row>
    <row r="40" spans="1:53" ht="14.4" customHeight="1" x14ac:dyDescent="0.3">
      <c r="A40" s="382"/>
      <c r="B40" s="382"/>
      <c r="C40" s="379"/>
      <c r="D40" s="153"/>
      <c r="E40" s="93"/>
      <c r="F40" s="93"/>
      <c r="G40" s="93"/>
      <c r="H40" s="386"/>
      <c r="I40" s="382"/>
      <c r="J40" s="379"/>
      <c r="K40" s="153"/>
      <c r="L40" s="386"/>
      <c r="M40" s="382"/>
      <c r="N40" s="395"/>
      <c r="O40" s="93">
        <v>135</v>
      </c>
      <c r="P40" s="93" t="s">
        <v>532</v>
      </c>
      <c r="Q40" s="412">
        <v>8253</v>
      </c>
      <c r="R40" s="415">
        <v>64</v>
      </c>
      <c r="S40" s="408">
        <v>45818.408159722108</v>
      </c>
      <c r="T40" s="409">
        <v>7200</v>
      </c>
      <c r="AA40" s="429">
        <v>118</v>
      </c>
      <c r="AB40" s="160">
        <v>45903</v>
      </c>
      <c r="AC40" s="448">
        <v>6716</v>
      </c>
      <c r="AP40" s="429">
        <v>159</v>
      </c>
      <c r="AQ40" s="160">
        <v>46801</v>
      </c>
      <c r="AR40" s="448">
        <v>5084</v>
      </c>
      <c r="AY40" s="435">
        <v>104</v>
      </c>
      <c r="AZ40" s="525" t="s">
        <v>637</v>
      </c>
      <c r="BA40" s="529">
        <v>12500</v>
      </c>
    </row>
    <row r="41" spans="1:53" ht="14.4" customHeight="1" x14ac:dyDescent="0.3">
      <c r="A41" s="382"/>
      <c r="B41" s="382"/>
      <c r="C41" s="379"/>
      <c r="D41" s="153"/>
      <c r="E41" s="93"/>
      <c r="F41" s="93"/>
      <c r="G41" s="93"/>
      <c r="H41" s="386"/>
      <c r="I41" s="382"/>
      <c r="J41" s="379"/>
      <c r="K41" s="153"/>
      <c r="L41" s="386"/>
      <c r="M41" s="382"/>
      <c r="N41" s="395"/>
      <c r="O41" s="93">
        <v>155</v>
      </c>
      <c r="P41" s="93" t="s">
        <v>533</v>
      </c>
      <c r="Q41" s="412">
        <v>11000</v>
      </c>
      <c r="R41" s="415">
        <v>67</v>
      </c>
      <c r="S41" s="408">
        <v>45818.353518518619</v>
      </c>
      <c r="T41" s="409">
        <v>15500</v>
      </c>
      <c r="AA41" s="429">
        <v>118</v>
      </c>
      <c r="AB41" s="160">
        <v>45920</v>
      </c>
      <c r="AC41" s="448">
        <v>10000</v>
      </c>
      <c r="AP41" s="429">
        <v>161</v>
      </c>
      <c r="AQ41" s="160">
        <v>46061</v>
      </c>
      <c r="AR41" s="448">
        <v>2000</v>
      </c>
      <c r="AY41" s="524">
        <v>105</v>
      </c>
      <c r="AZ41" s="525" t="s">
        <v>636</v>
      </c>
      <c r="BA41" s="529">
        <v>4150</v>
      </c>
    </row>
    <row r="42" spans="1:53" ht="14.4" customHeight="1" thickBot="1" x14ac:dyDescent="0.35">
      <c r="A42" s="153"/>
      <c r="B42" s="153"/>
      <c r="C42" s="153"/>
      <c r="D42" s="153"/>
      <c r="E42" s="93"/>
      <c r="F42" s="93"/>
      <c r="G42" s="93"/>
      <c r="H42" s="159"/>
      <c r="I42" s="153"/>
      <c r="J42" s="153"/>
      <c r="K42" s="153"/>
      <c r="L42" s="159"/>
      <c r="M42" s="153"/>
      <c r="N42" s="157"/>
      <c r="O42" s="93">
        <v>162</v>
      </c>
      <c r="P42" s="93" t="s">
        <v>545</v>
      </c>
      <c r="Q42" s="412">
        <v>10000</v>
      </c>
      <c r="R42" s="415">
        <v>71</v>
      </c>
      <c r="S42" s="408">
        <v>45810.705787037034</v>
      </c>
      <c r="T42" s="409">
        <v>2750</v>
      </c>
      <c r="AA42" s="429">
        <v>123</v>
      </c>
      <c r="AB42" s="160">
        <v>45908</v>
      </c>
      <c r="AC42" s="448">
        <v>3000</v>
      </c>
      <c r="AP42" s="472" t="s">
        <v>173</v>
      </c>
      <c r="AQ42" s="469"/>
      <c r="AR42" s="474">
        <v>144618.01999999999</v>
      </c>
      <c r="AY42" s="524">
        <v>106</v>
      </c>
      <c r="AZ42" s="525" t="s">
        <v>635</v>
      </c>
      <c r="BA42" s="529">
        <v>18300</v>
      </c>
    </row>
    <row r="43" spans="1:53" ht="14.4" customHeight="1" x14ac:dyDescent="0.3">
      <c r="A43" s="153"/>
      <c r="B43" s="153"/>
      <c r="C43" s="153"/>
      <c r="D43" s="153"/>
      <c r="E43" s="93"/>
      <c r="F43" s="93"/>
      <c r="G43" s="93"/>
      <c r="H43" s="159"/>
      <c r="I43" s="153"/>
      <c r="J43" s="153"/>
      <c r="K43" s="153"/>
      <c r="L43" s="159"/>
      <c r="M43" s="153"/>
      <c r="N43" s="157"/>
      <c r="O43" s="93">
        <v>163</v>
      </c>
      <c r="P43" s="93" t="s">
        <v>530</v>
      </c>
      <c r="Q43" s="412">
        <v>2917</v>
      </c>
      <c r="R43" s="415">
        <v>76</v>
      </c>
      <c r="S43" s="408">
        <v>45809.352627314627</v>
      </c>
      <c r="T43" s="409">
        <v>11500</v>
      </c>
      <c r="AA43" s="429">
        <v>127</v>
      </c>
      <c r="AB43" s="160">
        <v>45923</v>
      </c>
      <c r="AC43" s="448">
        <v>13150</v>
      </c>
      <c r="AY43" s="432">
        <v>107</v>
      </c>
      <c r="AZ43" s="525" t="s">
        <v>647</v>
      </c>
      <c r="BA43" s="529">
        <v>15000</v>
      </c>
    </row>
    <row r="44" spans="1:53" ht="14.4" customHeight="1" x14ac:dyDescent="0.3">
      <c r="A44" s="153"/>
      <c r="B44" s="153"/>
      <c r="C44" s="153"/>
      <c r="D44" s="153"/>
      <c r="E44" s="93"/>
      <c r="F44" s="93"/>
      <c r="G44" s="93"/>
      <c r="H44" s="159"/>
      <c r="I44" s="153"/>
      <c r="J44" s="153"/>
      <c r="K44" s="153"/>
      <c r="L44" s="159"/>
      <c r="M44" s="153"/>
      <c r="N44" s="157"/>
      <c r="O44" s="93">
        <v>164</v>
      </c>
      <c r="P44" s="93" t="s">
        <v>530</v>
      </c>
      <c r="Q44" s="412">
        <v>6417</v>
      </c>
      <c r="R44" s="416">
        <v>78</v>
      </c>
      <c r="S44" s="408">
        <v>45812.550046296325</v>
      </c>
      <c r="T44" s="409">
        <v>5500</v>
      </c>
      <c r="AA44" s="429">
        <v>128</v>
      </c>
      <c r="AB44" s="160">
        <v>45909</v>
      </c>
      <c r="AC44" s="428">
        <v>700</v>
      </c>
      <c r="AY44" s="524">
        <v>113</v>
      </c>
      <c r="AZ44" s="525" t="s">
        <v>636</v>
      </c>
      <c r="BA44" s="529">
        <v>27500</v>
      </c>
    </row>
    <row r="45" spans="1:53" ht="14.4" customHeight="1" x14ac:dyDescent="0.3">
      <c r="A45" s="153"/>
      <c r="B45" s="153"/>
      <c r="C45" s="153"/>
      <c r="D45" s="153"/>
      <c r="E45" s="93"/>
      <c r="F45" s="93"/>
      <c r="G45" s="93"/>
      <c r="H45" s="159"/>
      <c r="I45" s="153"/>
      <c r="J45" s="153"/>
      <c r="K45" s="153"/>
      <c r="L45" s="159"/>
      <c r="M45" s="153"/>
      <c r="N45" s="157"/>
      <c r="O45" s="93"/>
      <c r="P45" s="93"/>
      <c r="Q45" s="412"/>
      <c r="R45" s="415">
        <v>80</v>
      </c>
      <c r="S45" s="408">
        <v>45811.392696759198</v>
      </c>
      <c r="T45" s="409">
        <v>2000</v>
      </c>
      <c r="AA45" s="429">
        <v>129</v>
      </c>
      <c r="AB45" s="160">
        <v>45909</v>
      </c>
      <c r="AC45" s="428">
        <v>700</v>
      </c>
      <c r="AY45" s="432">
        <v>117</v>
      </c>
      <c r="AZ45" s="525" t="s">
        <v>633</v>
      </c>
      <c r="BA45" s="529">
        <v>1000</v>
      </c>
    </row>
    <row r="46" spans="1:53" ht="14.4" customHeight="1" x14ac:dyDescent="0.3">
      <c r="A46" s="153"/>
      <c r="B46" s="153"/>
      <c r="C46" s="153"/>
      <c r="D46" s="153"/>
      <c r="E46" s="93"/>
      <c r="F46" s="93"/>
      <c r="G46" s="93"/>
      <c r="H46" s="159"/>
      <c r="I46" s="153"/>
      <c r="J46" s="153"/>
      <c r="K46" s="153"/>
      <c r="L46" s="159"/>
      <c r="M46" s="153"/>
      <c r="N46" s="157"/>
      <c r="O46" s="93"/>
      <c r="P46" s="93"/>
      <c r="Q46" s="412"/>
      <c r="R46" s="415">
        <v>80</v>
      </c>
      <c r="S46" s="408">
        <v>45812.571041666437</v>
      </c>
      <c r="T46" s="409">
        <v>2000</v>
      </c>
      <c r="AA46" s="429">
        <v>132</v>
      </c>
      <c r="AB46" s="160">
        <v>45923</v>
      </c>
      <c r="AC46" s="448">
        <v>12500</v>
      </c>
      <c r="AY46" s="524">
        <v>118</v>
      </c>
      <c r="AZ46" s="525" t="s">
        <v>643</v>
      </c>
      <c r="BA46" s="529">
        <v>9750</v>
      </c>
    </row>
    <row r="47" spans="1:53" ht="14.4" customHeight="1" x14ac:dyDescent="0.3">
      <c r="A47" s="153"/>
      <c r="B47" s="153"/>
      <c r="C47" s="153"/>
      <c r="D47" s="153"/>
      <c r="E47" s="93"/>
      <c r="F47" s="93"/>
      <c r="G47" s="93"/>
      <c r="H47" s="159"/>
      <c r="I47" s="153"/>
      <c r="J47" s="153"/>
      <c r="K47" s="153"/>
      <c r="L47" s="159"/>
      <c r="M47" s="153"/>
      <c r="N47" s="157"/>
      <c r="O47" s="93"/>
      <c r="P47" s="93"/>
      <c r="Q47" s="412"/>
      <c r="R47" s="415">
        <v>81</v>
      </c>
      <c r="S47" s="408">
        <v>45838.683101851959</v>
      </c>
      <c r="T47" s="409">
        <v>2750</v>
      </c>
      <c r="AA47" s="429">
        <v>140</v>
      </c>
      <c r="AB47" s="160">
        <v>45904</v>
      </c>
      <c r="AC47" s="448">
        <v>3750</v>
      </c>
      <c r="AY47" s="524">
        <v>122</v>
      </c>
      <c r="AZ47" s="525" t="s">
        <v>635</v>
      </c>
      <c r="BA47" s="529">
        <v>13420</v>
      </c>
    </row>
    <row r="48" spans="1:53" ht="14.4" customHeight="1" x14ac:dyDescent="0.3">
      <c r="A48" s="153"/>
      <c r="B48" s="153"/>
      <c r="C48" s="153"/>
      <c r="D48" s="153"/>
      <c r="E48" s="93"/>
      <c r="F48" s="93"/>
      <c r="G48" s="93"/>
      <c r="H48" s="159"/>
      <c r="I48" s="153"/>
      <c r="J48" s="153"/>
      <c r="K48" s="153"/>
      <c r="L48" s="159"/>
      <c r="M48" s="153"/>
      <c r="N48" s="157"/>
      <c r="O48" s="93"/>
      <c r="P48" s="93"/>
      <c r="Q48" s="412"/>
      <c r="R48" s="415">
        <v>82</v>
      </c>
      <c r="S48" s="408">
        <v>45778</v>
      </c>
      <c r="T48" s="409">
        <v>11500</v>
      </c>
      <c r="AA48" s="429">
        <v>157</v>
      </c>
      <c r="AB48" s="160">
        <v>45904</v>
      </c>
      <c r="AC48" s="448">
        <v>3250</v>
      </c>
      <c r="AY48" s="524">
        <v>124</v>
      </c>
      <c r="AZ48" s="525" t="s">
        <v>648</v>
      </c>
      <c r="BA48" s="529">
        <v>12500</v>
      </c>
    </row>
    <row r="49" spans="1:53" ht="14.4" customHeight="1" x14ac:dyDescent="0.3">
      <c r="A49" s="153"/>
      <c r="B49" s="153"/>
      <c r="C49" s="153"/>
      <c r="D49" s="153"/>
      <c r="E49" s="93"/>
      <c r="F49" s="93"/>
      <c r="G49" s="93"/>
      <c r="H49" s="159"/>
      <c r="I49" s="153"/>
      <c r="J49" s="153"/>
      <c r="K49" s="153"/>
      <c r="L49" s="159"/>
      <c r="M49" s="153"/>
      <c r="N49" s="157"/>
      <c r="O49" s="93"/>
      <c r="P49" s="93"/>
      <c r="Q49" s="412"/>
      <c r="R49" s="415">
        <v>83</v>
      </c>
      <c r="S49" s="408">
        <v>45821.035069444217</v>
      </c>
      <c r="T49" s="409">
        <v>7350</v>
      </c>
      <c r="AA49" s="429">
        <v>158</v>
      </c>
      <c r="AB49" s="160">
        <v>45904</v>
      </c>
      <c r="AC49" s="448">
        <v>3250</v>
      </c>
      <c r="AY49" s="524">
        <v>125</v>
      </c>
      <c r="AZ49" s="525" t="s">
        <v>648</v>
      </c>
      <c r="BA49" s="529">
        <v>12500</v>
      </c>
    </row>
    <row r="50" spans="1:53" ht="14.4" customHeight="1" x14ac:dyDescent="0.3">
      <c r="A50" s="153"/>
      <c r="B50" s="153"/>
      <c r="C50" s="153"/>
      <c r="D50" s="153"/>
      <c r="E50" s="93"/>
      <c r="F50" s="93"/>
      <c r="G50" s="93"/>
      <c r="H50" s="159"/>
      <c r="I50" s="153"/>
      <c r="J50" s="153"/>
      <c r="K50" s="153"/>
      <c r="L50" s="159"/>
      <c r="M50" s="153"/>
      <c r="N50" s="157"/>
      <c r="O50" s="93"/>
      <c r="P50" s="93"/>
      <c r="Q50" s="412"/>
      <c r="R50" s="415">
        <v>93</v>
      </c>
      <c r="S50" s="408">
        <v>45818.354386574123</v>
      </c>
      <c r="T50" s="409">
        <v>2500</v>
      </c>
      <c r="AA50" s="429">
        <v>159</v>
      </c>
      <c r="AB50" s="160">
        <v>45904</v>
      </c>
      <c r="AC50" s="448">
        <v>3250</v>
      </c>
      <c r="AY50" s="432">
        <v>130</v>
      </c>
      <c r="AZ50" s="525" t="s">
        <v>649</v>
      </c>
      <c r="BA50" s="529">
        <v>1042</v>
      </c>
    </row>
    <row r="51" spans="1:53" ht="14.4" customHeight="1" x14ac:dyDescent="0.3">
      <c r="A51" s="153"/>
      <c r="B51" s="153"/>
      <c r="C51" s="153"/>
      <c r="D51" s="153"/>
      <c r="E51" s="93"/>
      <c r="F51" s="93"/>
      <c r="G51" s="93"/>
      <c r="H51" s="159"/>
      <c r="I51" s="153"/>
      <c r="J51" s="153"/>
      <c r="K51" s="153"/>
      <c r="L51" s="159"/>
      <c r="M51" s="153"/>
      <c r="N51" s="157"/>
      <c r="O51" s="93"/>
      <c r="P51" s="93"/>
      <c r="Q51" s="412"/>
      <c r="R51" s="415">
        <v>100</v>
      </c>
      <c r="S51" s="408">
        <v>45821.036793981679</v>
      </c>
      <c r="T51" s="409">
        <v>9800</v>
      </c>
      <c r="AA51" s="440" t="s">
        <v>173</v>
      </c>
      <c r="AB51" s="91"/>
      <c r="AC51" s="441">
        <v>197650</v>
      </c>
      <c r="AY51" s="432">
        <v>133</v>
      </c>
      <c r="AZ51" s="525" t="s">
        <v>650</v>
      </c>
      <c r="BA51" s="529">
        <v>6250</v>
      </c>
    </row>
    <row r="52" spans="1:53" x14ac:dyDescent="0.3">
      <c r="A52" s="153"/>
      <c r="B52" s="153"/>
      <c r="C52" s="153"/>
      <c r="D52" s="153"/>
      <c r="E52" s="93"/>
      <c r="F52" s="93"/>
      <c r="G52" s="93"/>
      <c r="H52" s="159"/>
      <c r="I52" s="153"/>
      <c r="J52" s="153"/>
      <c r="K52" s="153"/>
      <c r="L52" s="159"/>
      <c r="M52" s="153"/>
      <c r="N52" s="157"/>
      <c r="O52" s="93"/>
      <c r="P52" s="93"/>
      <c r="Q52" s="412"/>
      <c r="R52" s="415" t="s">
        <v>434</v>
      </c>
      <c r="S52" s="408">
        <v>45824.043750000186</v>
      </c>
      <c r="T52" s="409">
        <v>2000</v>
      </c>
      <c r="AY52" s="524">
        <v>136</v>
      </c>
      <c r="AZ52" s="525" t="s">
        <v>634</v>
      </c>
      <c r="BA52" s="529">
        <v>6000</v>
      </c>
    </row>
    <row r="53" spans="1:53" x14ac:dyDescent="0.3">
      <c r="A53" s="153"/>
      <c r="B53" s="153"/>
      <c r="C53" s="153"/>
      <c r="D53" s="153"/>
      <c r="E53" s="93"/>
      <c r="F53" s="93"/>
      <c r="G53" s="93"/>
      <c r="H53" s="159"/>
      <c r="I53" s="153"/>
      <c r="J53" s="153"/>
      <c r="K53" s="153"/>
      <c r="L53" s="159"/>
      <c r="M53" s="153"/>
      <c r="N53" s="157"/>
      <c r="O53" s="93"/>
      <c r="P53" s="93"/>
      <c r="Q53" s="412"/>
      <c r="R53" s="415">
        <v>103</v>
      </c>
      <c r="S53" s="408">
        <v>45824.043668981642</v>
      </c>
      <c r="T53" s="409">
        <v>4000</v>
      </c>
      <c r="AY53" s="524">
        <v>137</v>
      </c>
      <c r="AZ53" s="525" t="s">
        <v>634</v>
      </c>
      <c r="BA53" s="529">
        <v>6000</v>
      </c>
    </row>
    <row r="54" spans="1:53" x14ac:dyDescent="0.3">
      <c r="A54" s="153"/>
      <c r="B54" s="153"/>
      <c r="C54" s="153"/>
      <c r="D54" s="153"/>
      <c r="E54" s="93"/>
      <c r="F54" s="93"/>
      <c r="G54" s="93"/>
      <c r="H54" s="159"/>
      <c r="I54" s="153"/>
      <c r="J54" s="153"/>
      <c r="K54" s="153"/>
      <c r="L54" s="159"/>
      <c r="M54" s="153"/>
      <c r="N54" s="157"/>
      <c r="O54" s="93"/>
      <c r="P54" s="93"/>
      <c r="Q54" s="412"/>
      <c r="R54" s="415">
        <v>106</v>
      </c>
      <c r="S54" s="408">
        <v>45819.053298611194</v>
      </c>
      <c r="T54" s="409">
        <v>5000</v>
      </c>
      <c r="AY54" s="524">
        <v>138</v>
      </c>
      <c r="AZ54" s="525" t="s">
        <v>634</v>
      </c>
      <c r="BA54" s="529">
        <v>6000</v>
      </c>
    </row>
    <row r="55" spans="1:53" x14ac:dyDescent="0.3">
      <c r="A55" s="153"/>
      <c r="B55" s="153"/>
      <c r="C55" s="153"/>
      <c r="D55" s="153"/>
      <c r="E55" s="93"/>
      <c r="F55" s="93"/>
      <c r="G55" s="93"/>
      <c r="H55" s="159"/>
      <c r="I55" s="153"/>
      <c r="J55" s="153"/>
      <c r="K55" s="153"/>
      <c r="L55" s="159"/>
      <c r="M55" s="153"/>
      <c r="N55" s="157"/>
      <c r="O55" s="93"/>
      <c r="P55" s="93"/>
      <c r="Q55" s="412"/>
      <c r="R55" s="415">
        <v>112</v>
      </c>
      <c r="S55" s="408">
        <v>45834.548541666474</v>
      </c>
      <c r="T55" s="409">
        <v>1833</v>
      </c>
      <c r="AY55" s="524">
        <v>139</v>
      </c>
      <c r="AZ55" s="525" t="s">
        <v>643</v>
      </c>
      <c r="BA55" s="529">
        <v>12500</v>
      </c>
    </row>
    <row r="56" spans="1:53" x14ac:dyDescent="0.3">
      <c r="A56" s="137"/>
      <c r="B56" s="148" t="s">
        <v>173</v>
      </c>
      <c r="C56" s="137">
        <f>SUM(C4:C55)</f>
        <v>82718</v>
      </c>
      <c r="D56" s="137">
        <v>15000</v>
      </c>
      <c r="F56" s="385" t="s">
        <v>173</v>
      </c>
      <c r="G56">
        <f>SUM(G4:G35)</f>
        <v>102381</v>
      </c>
      <c r="H56" s="387"/>
      <c r="I56" s="148" t="s">
        <v>173</v>
      </c>
      <c r="J56" s="137">
        <f>SUM(J4:J55)</f>
        <v>96204</v>
      </c>
      <c r="K56" s="137">
        <v>8000</v>
      </c>
      <c r="L56" s="387"/>
      <c r="M56" s="148" t="s">
        <v>173</v>
      </c>
      <c r="N56" s="388">
        <f>SUM(N4:N34)</f>
        <v>127250</v>
      </c>
      <c r="P56" s="385" t="s">
        <v>173</v>
      </c>
      <c r="Q56" s="398">
        <f>SUM(Q4:Q44)</f>
        <v>192902</v>
      </c>
      <c r="R56" s="415">
        <v>117</v>
      </c>
      <c r="S56" s="410">
        <v>45813.489351851866</v>
      </c>
      <c r="T56" s="409">
        <v>1000</v>
      </c>
      <c r="AY56" s="432">
        <v>141</v>
      </c>
      <c r="AZ56" s="525" t="s">
        <v>651</v>
      </c>
      <c r="BA56" s="529">
        <v>1042</v>
      </c>
    </row>
    <row r="57" spans="1:53" x14ac:dyDescent="0.3">
      <c r="Q57" s="397"/>
      <c r="R57" s="415">
        <v>118</v>
      </c>
      <c r="S57" s="410">
        <v>45813.567824074067</v>
      </c>
      <c r="T57" s="409">
        <v>11000</v>
      </c>
      <c r="AY57" s="432">
        <v>142</v>
      </c>
      <c r="AZ57" s="525" t="s">
        <v>633</v>
      </c>
      <c r="BA57" s="529">
        <v>3125</v>
      </c>
    </row>
    <row r="58" spans="1:53" x14ac:dyDescent="0.3">
      <c r="R58" s="415">
        <v>120</v>
      </c>
      <c r="S58" s="410">
        <v>45831.036990740802</v>
      </c>
      <c r="T58" s="409">
        <v>20500</v>
      </c>
      <c r="AY58" s="432">
        <v>143</v>
      </c>
      <c r="AZ58" s="525" t="s">
        <v>633</v>
      </c>
      <c r="BA58" s="529">
        <v>3125</v>
      </c>
    </row>
    <row r="59" spans="1:53" x14ac:dyDescent="0.3">
      <c r="R59" s="415">
        <v>124</v>
      </c>
      <c r="S59" s="410">
        <v>45826.597384259105</v>
      </c>
      <c r="T59" s="409">
        <v>3665</v>
      </c>
      <c r="AY59" s="432">
        <v>144</v>
      </c>
      <c r="AZ59" s="525" t="s">
        <v>633</v>
      </c>
      <c r="BA59" s="529">
        <v>3125</v>
      </c>
    </row>
    <row r="60" spans="1:53" x14ac:dyDescent="0.3">
      <c r="R60" s="415">
        <v>125</v>
      </c>
      <c r="S60" s="410">
        <v>45826.596608796157</v>
      </c>
      <c r="T60" s="409">
        <v>3665</v>
      </c>
      <c r="AY60" s="432">
        <v>145</v>
      </c>
      <c r="AZ60" s="525" t="s">
        <v>633</v>
      </c>
      <c r="BA60" s="529">
        <v>3125</v>
      </c>
    </row>
    <row r="61" spans="1:53" x14ac:dyDescent="0.3">
      <c r="R61" s="415">
        <v>136</v>
      </c>
      <c r="S61" s="410">
        <v>45817.077418981586</v>
      </c>
      <c r="T61" s="409">
        <v>6000</v>
      </c>
      <c r="AY61" s="524">
        <v>146</v>
      </c>
      <c r="AZ61" s="525" t="s">
        <v>644</v>
      </c>
      <c r="BA61" s="529">
        <v>12200</v>
      </c>
    </row>
    <row r="62" spans="1:53" x14ac:dyDescent="0.3">
      <c r="R62" s="415">
        <v>137</v>
      </c>
      <c r="S62" s="410">
        <v>45817</v>
      </c>
      <c r="T62" s="409">
        <v>6000</v>
      </c>
      <c r="AY62" s="524">
        <v>149</v>
      </c>
      <c r="AZ62" s="525" t="s">
        <v>636</v>
      </c>
      <c r="BA62" s="529">
        <v>12500</v>
      </c>
    </row>
    <row r="63" spans="1:53" x14ac:dyDescent="0.3">
      <c r="R63" s="415">
        <v>138</v>
      </c>
      <c r="S63" s="410">
        <v>45817</v>
      </c>
      <c r="T63" s="409">
        <v>6000</v>
      </c>
      <c r="AY63" s="524">
        <v>154</v>
      </c>
      <c r="AZ63" s="525" t="s">
        <v>646</v>
      </c>
      <c r="BA63" s="529">
        <v>12500</v>
      </c>
    </row>
    <row r="64" spans="1:53" x14ac:dyDescent="0.3">
      <c r="R64" s="415">
        <v>140</v>
      </c>
      <c r="S64" s="410">
        <v>45811.634791666642</v>
      </c>
      <c r="T64" s="409">
        <v>2750</v>
      </c>
      <c r="AY64" s="524">
        <v>163</v>
      </c>
      <c r="AZ64" s="525" t="s">
        <v>643</v>
      </c>
      <c r="BA64" s="529">
        <v>12500</v>
      </c>
    </row>
    <row r="65" spans="18:53" x14ac:dyDescent="0.3">
      <c r="R65" s="415">
        <v>141</v>
      </c>
      <c r="S65" s="410">
        <v>45811.387349537108</v>
      </c>
      <c r="T65" s="409">
        <v>1834</v>
      </c>
      <c r="AY65" s="524">
        <v>164</v>
      </c>
      <c r="AZ65" s="525" t="s">
        <v>643</v>
      </c>
      <c r="BA65" s="529">
        <v>12500</v>
      </c>
    </row>
    <row r="66" spans="18:53" ht="15" thickBot="1" x14ac:dyDescent="0.35">
      <c r="R66" s="415">
        <v>148</v>
      </c>
      <c r="S66" s="410">
        <v>45810.288888888899</v>
      </c>
      <c r="T66" s="409">
        <v>917</v>
      </c>
      <c r="AY66" s="472" t="s">
        <v>173</v>
      </c>
      <c r="AZ66" s="469"/>
      <c r="BA66" s="522">
        <f>SUM(BA4:BA65)</f>
        <v>507546.01</v>
      </c>
    </row>
    <row r="67" spans="18:53" x14ac:dyDescent="0.3">
      <c r="R67" s="415">
        <v>154</v>
      </c>
      <c r="S67" s="410">
        <v>45818.896898148116</v>
      </c>
      <c r="T67" s="409">
        <v>11000</v>
      </c>
    </row>
    <row r="68" spans="18:53" x14ac:dyDescent="0.3">
      <c r="R68" s="415">
        <v>157</v>
      </c>
      <c r="S68" s="410">
        <v>45818.96565972222</v>
      </c>
      <c r="T68" s="409">
        <v>5500</v>
      </c>
    </row>
    <row r="69" spans="18:53" x14ac:dyDescent="0.3">
      <c r="R69" s="415">
        <v>158</v>
      </c>
      <c r="S69" s="410">
        <v>45818</v>
      </c>
      <c r="T69" s="409">
        <v>5500</v>
      </c>
    </row>
    <row r="70" spans="18:53" x14ac:dyDescent="0.3">
      <c r="R70" s="415">
        <v>159</v>
      </c>
      <c r="S70" s="410">
        <v>45818</v>
      </c>
      <c r="T70" s="409">
        <v>5500</v>
      </c>
    </row>
    <row r="71" spans="18:53" x14ac:dyDescent="0.3">
      <c r="R71" s="415">
        <v>163</v>
      </c>
      <c r="S71" s="410">
        <v>45822.643113425933</v>
      </c>
      <c r="T71" s="409">
        <v>916</v>
      </c>
    </row>
    <row r="72" spans="18:53" x14ac:dyDescent="0.3">
      <c r="R72" s="417">
        <v>164</v>
      </c>
      <c r="S72" s="410">
        <v>45822.641759259161</v>
      </c>
      <c r="T72" s="409">
        <v>916</v>
      </c>
    </row>
    <row r="73" spans="18:53" x14ac:dyDescent="0.3">
      <c r="S73" s="385" t="s">
        <v>173</v>
      </c>
      <c r="T73" s="397">
        <f>SUM(T4:T72)</f>
        <v>450014</v>
      </c>
    </row>
  </sheetData>
  <sortState ref="O4:Q44">
    <sortCondition ref="O4:O44"/>
  </sortState>
  <mergeCells count="17">
    <mergeCell ref="AY2:BA2"/>
    <mergeCell ref="AG2:AI2"/>
    <mergeCell ref="A2:C2"/>
    <mergeCell ref="E2:G2"/>
    <mergeCell ref="H2:J2"/>
    <mergeCell ref="L2:N2"/>
    <mergeCell ref="O2:Q2"/>
    <mergeCell ref="AA2:AC2"/>
    <mergeCell ref="X2:Z2"/>
    <mergeCell ref="U2:W2"/>
    <mergeCell ref="AD2:AF2"/>
    <mergeCell ref="R2:T2"/>
    <mergeCell ref="AS2:AU2"/>
    <mergeCell ref="AV2:AX2"/>
    <mergeCell ref="AM2:AO2"/>
    <mergeCell ref="AP2:AR2"/>
    <mergeCell ref="AJ2:AL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35"/>
  <sheetViews>
    <sheetView workbookViewId="0">
      <pane ySplit="1" topLeftCell="A11" activePane="bottomLeft" state="frozen"/>
      <selection activeCell="G17" sqref="G17"/>
      <selection pane="bottomLeft" activeCell="C18" sqref="C18"/>
    </sheetView>
  </sheetViews>
  <sheetFormatPr defaultRowHeight="14.4" x14ac:dyDescent="0.3"/>
  <cols>
    <col min="1" max="1" width="34" bestFit="1" customWidth="1"/>
    <col min="2" max="2" width="12.33203125" customWidth="1"/>
    <col min="3" max="3" width="24.109375" bestFit="1" customWidth="1"/>
  </cols>
  <sheetData>
    <row r="1" spans="1:3" ht="30.6" customHeight="1" x14ac:dyDescent="0.35">
      <c r="A1" s="12" t="s">
        <v>87</v>
      </c>
      <c r="B1" s="108" t="s">
        <v>261</v>
      </c>
      <c r="C1" s="13" t="s">
        <v>89</v>
      </c>
    </row>
    <row r="2" spans="1:3" x14ac:dyDescent="0.3">
      <c r="A2" s="9" t="s">
        <v>90</v>
      </c>
      <c r="B2" s="10" t="s">
        <v>91</v>
      </c>
      <c r="C2" s="11">
        <v>500</v>
      </c>
    </row>
    <row r="3" spans="1:3" x14ac:dyDescent="0.3">
      <c r="A3" s="1" t="s">
        <v>92</v>
      </c>
      <c r="B3" s="5" t="s">
        <v>93</v>
      </c>
      <c r="C3" s="3">
        <v>2500</v>
      </c>
    </row>
    <row r="4" spans="1:3" x14ac:dyDescent="0.3">
      <c r="A4" s="519" t="s">
        <v>154</v>
      </c>
      <c r="B4" s="5" t="s">
        <v>94</v>
      </c>
      <c r="C4" s="3">
        <v>3000</v>
      </c>
    </row>
    <row r="5" spans="1:3" x14ac:dyDescent="0.3">
      <c r="A5" s="520"/>
      <c r="B5" s="5" t="s">
        <v>95</v>
      </c>
      <c r="C5" s="3">
        <v>3000</v>
      </c>
    </row>
    <row r="6" spans="1:3" x14ac:dyDescent="0.3">
      <c r="A6" s="520"/>
      <c r="B6" s="5" t="s">
        <v>96</v>
      </c>
      <c r="C6" s="3">
        <v>2000</v>
      </c>
    </row>
    <row r="7" spans="1:3" x14ac:dyDescent="0.3">
      <c r="A7" s="520"/>
      <c r="B7" s="35" t="s">
        <v>97</v>
      </c>
      <c r="C7" s="3">
        <v>6000</v>
      </c>
    </row>
    <row r="8" spans="1:3" x14ac:dyDescent="0.3">
      <c r="A8" s="520"/>
      <c r="B8" s="36" t="s">
        <v>98</v>
      </c>
      <c r="C8" s="3">
        <v>6000</v>
      </c>
    </row>
    <row r="9" spans="1:3" x14ac:dyDescent="0.3">
      <c r="A9" s="520"/>
      <c r="B9" s="36" t="s">
        <v>99</v>
      </c>
      <c r="C9" s="3">
        <v>7200</v>
      </c>
    </row>
    <row r="10" spans="1:3" x14ac:dyDescent="0.3">
      <c r="A10" s="520"/>
      <c r="B10" s="36" t="s">
        <v>100</v>
      </c>
      <c r="C10" s="3">
        <v>8300</v>
      </c>
    </row>
    <row r="11" spans="1:3" x14ac:dyDescent="0.3">
      <c r="A11" s="520"/>
      <c r="B11" s="36" t="s">
        <v>101</v>
      </c>
      <c r="C11" s="3">
        <v>8300</v>
      </c>
    </row>
    <row r="12" spans="1:3" x14ac:dyDescent="0.3">
      <c r="A12" s="520"/>
      <c r="B12" s="36" t="s">
        <v>120</v>
      </c>
      <c r="C12" s="3">
        <v>8300</v>
      </c>
    </row>
    <row r="13" spans="1:3" x14ac:dyDescent="0.3">
      <c r="A13" s="520"/>
      <c r="B13" s="36" t="s">
        <v>138</v>
      </c>
      <c r="C13" s="3">
        <v>8300</v>
      </c>
    </row>
    <row r="14" spans="1:3" x14ac:dyDescent="0.3">
      <c r="A14" s="521"/>
      <c r="B14" s="36" t="s">
        <v>146</v>
      </c>
      <c r="C14" s="3">
        <v>8500</v>
      </c>
    </row>
    <row r="15" spans="1:3" x14ac:dyDescent="0.3">
      <c r="A15" s="97"/>
      <c r="B15" s="36" t="s">
        <v>250</v>
      </c>
      <c r="C15" s="3">
        <v>9200</v>
      </c>
    </row>
    <row r="16" spans="1:3" x14ac:dyDescent="0.3">
      <c r="A16" s="164"/>
      <c r="B16" s="36" t="s">
        <v>388</v>
      </c>
      <c r="C16" s="3">
        <v>11000</v>
      </c>
    </row>
    <row r="17" spans="1:3" x14ac:dyDescent="0.3">
      <c r="A17" s="419"/>
      <c r="B17" s="36" t="s">
        <v>559</v>
      </c>
      <c r="C17" s="3">
        <v>12500</v>
      </c>
    </row>
    <row r="18" spans="1:3" x14ac:dyDescent="0.3">
      <c r="A18" s="1" t="s">
        <v>102</v>
      </c>
      <c r="B18" s="1"/>
      <c r="C18" s="3">
        <f>SUM(C2:C17)</f>
        <v>104600</v>
      </c>
    </row>
    <row r="19" spans="1:3" x14ac:dyDescent="0.3">
      <c r="A19" s="1"/>
      <c r="B19" s="24"/>
      <c r="C19" s="25"/>
    </row>
    <row r="20" spans="1:3" x14ac:dyDescent="0.3">
      <c r="A20" s="2" t="s">
        <v>103</v>
      </c>
      <c r="B20" s="14" t="s">
        <v>88</v>
      </c>
      <c r="C20" s="14" t="s">
        <v>89</v>
      </c>
    </row>
    <row r="21" spans="1:3" x14ac:dyDescent="0.3">
      <c r="A21" s="7" t="s">
        <v>104</v>
      </c>
      <c r="B21" s="6" t="s">
        <v>93</v>
      </c>
      <c r="C21" s="4">
        <v>4000</v>
      </c>
    </row>
    <row r="22" spans="1:3" x14ac:dyDescent="0.3">
      <c r="A22" s="7" t="s">
        <v>105</v>
      </c>
      <c r="B22" s="6" t="s">
        <v>93</v>
      </c>
      <c r="C22" s="4">
        <v>8000</v>
      </c>
    </row>
    <row r="23" spans="1:3" x14ac:dyDescent="0.3">
      <c r="A23" s="7" t="s">
        <v>106</v>
      </c>
      <c r="B23" s="6" t="s">
        <v>93</v>
      </c>
      <c r="C23" s="4">
        <v>1000</v>
      </c>
    </row>
    <row r="24" spans="1:3" x14ac:dyDescent="0.3">
      <c r="A24" s="7" t="s">
        <v>107</v>
      </c>
      <c r="B24" s="8">
        <v>2014</v>
      </c>
      <c r="C24" s="4">
        <v>8000</v>
      </c>
    </row>
    <row r="25" spans="1:3" x14ac:dyDescent="0.3">
      <c r="A25" s="26" t="s">
        <v>1</v>
      </c>
      <c r="B25" s="27">
        <v>2015</v>
      </c>
      <c r="C25" s="28">
        <v>20000</v>
      </c>
    </row>
    <row r="26" spans="1:3" x14ac:dyDescent="0.3">
      <c r="A26" s="26" t="s">
        <v>108</v>
      </c>
      <c r="B26" s="29">
        <v>2016</v>
      </c>
      <c r="C26" s="28">
        <v>25000</v>
      </c>
    </row>
    <row r="27" spans="1:3" x14ac:dyDescent="0.3">
      <c r="A27" s="26" t="s">
        <v>109</v>
      </c>
      <c r="B27" s="30">
        <v>2018</v>
      </c>
      <c r="C27" s="28">
        <v>2000</v>
      </c>
    </row>
    <row r="28" spans="1:3" x14ac:dyDescent="0.3">
      <c r="A28" s="26" t="s">
        <v>143</v>
      </c>
      <c r="B28" s="30">
        <v>2020</v>
      </c>
      <c r="C28" s="28">
        <v>3500</v>
      </c>
    </row>
    <row r="29" spans="1:3" x14ac:dyDescent="0.3">
      <c r="A29" s="26" t="s">
        <v>141</v>
      </c>
      <c r="B29" s="30">
        <v>2021</v>
      </c>
      <c r="C29" s="28">
        <v>4000</v>
      </c>
    </row>
    <row r="30" spans="1:3" x14ac:dyDescent="0.3">
      <c r="A30" s="31" t="s">
        <v>147</v>
      </c>
      <c r="B30" s="30">
        <v>2022</v>
      </c>
      <c r="C30" s="28">
        <v>500</v>
      </c>
    </row>
    <row r="31" spans="1:3" x14ac:dyDescent="0.3">
      <c r="A31" s="31" t="s">
        <v>251</v>
      </c>
      <c r="B31" s="30">
        <v>2023</v>
      </c>
      <c r="C31" s="28">
        <v>6000</v>
      </c>
    </row>
    <row r="32" spans="1:3" x14ac:dyDescent="0.3">
      <c r="A32" s="103" t="s">
        <v>157</v>
      </c>
      <c r="B32" s="103"/>
      <c r="C32" s="28">
        <f>SUM(C25:C31)</f>
        <v>61000</v>
      </c>
    </row>
    <row r="33" spans="1:3" x14ac:dyDescent="0.3">
      <c r="A33" s="2" t="s">
        <v>158</v>
      </c>
      <c r="B33" s="2"/>
      <c r="C33" s="4">
        <f>SUM(C21:C31)</f>
        <v>82000</v>
      </c>
    </row>
    <row r="34" spans="1:3" ht="15" thickBot="1" x14ac:dyDescent="0.35">
      <c r="A34" s="18"/>
      <c r="B34" s="19"/>
      <c r="C34" s="20"/>
    </row>
    <row r="35" spans="1:3" ht="15" thickTop="1" x14ac:dyDescent="0.3">
      <c r="A35" s="15" t="s">
        <v>252</v>
      </c>
      <c r="B35" s="16"/>
      <c r="C35" s="17">
        <f>C18+C33</f>
        <v>186600</v>
      </c>
    </row>
  </sheetData>
  <mergeCells count="1">
    <mergeCell ref="A4:A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Итоговые данные</vt:lpstr>
      <vt:lpstr>Платежи 2023</vt:lpstr>
      <vt:lpstr>Платежи 2024</vt:lpstr>
      <vt:lpstr>Платежи 2025</vt:lpstr>
      <vt:lpstr>Плановые взносы с 1 участка</vt:lpstr>
      <vt:lpstr>СдатьЗаТекущийПериодНаНачалоМесяца</vt:lpstr>
      <vt:lpstr>СуммаСбораС2018наНачалоМесяца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2026-06-01T16:08:31Z</dcterms:modified>
</cp:coreProperties>
</file>